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lockStructure="1"/>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README" sheetId="2" state="visible" r:id="rId2"/>
    <sheet xmlns:r="http://schemas.openxmlformats.org/officeDocument/2006/relationships" name="Basis of Measurement" sheetId="3" state="visible" r:id="rId3"/>
    <sheet xmlns:r="http://schemas.openxmlformats.org/officeDocument/2006/relationships" name="Dashboard" sheetId="4" state="visible" r:id="rId4"/>
    <sheet xmlns:r="http://schemas.openxmlformats.org/officeDocument/2006/relationships" name="Settings" sheetId="5" state="visible" r:id="rId5"/>
    <sheet xmlns:r="http://schemas.openxmlformats.org/officeDocument/2006/relationships" name="Quote Summary" sheetId="6" state="visible" r:id="rId6"/>
    <sheet xmlns:r="http://schemas.openxmlformats.org/officeDocument/2006/relationships" name="Indirect Cost" sheetId="7" state="visible" r:id="rId7"/>
    <sheet xmlns:r="http://schemas.openxmlformats.org/officeDocument/2006/relationships" name="Takeoff-Architectural" sheetId="8" state="visible" r:id="rId8"/>
    <sheet xmlns:r="http://schemas.openxmlformats.org/officeDocument/2006/relationships" name="Backup-Architectural" sheetId="9" state="visible" r:id="rId9"/>
    <sheet xmlns:r="http://schemas.openxmlformats.org/officeDocument/2006/relationships" name="Calc-Architectural" sheetId="10" state="visible" r:id="rId10"/>
    <sheet xmlns:r="http://schemas.openxmlformats.org/officeDocument/2006/relationships" name="Takeoff-Electrical" sheetId="11" state="visible" r:id="rId11"/>
    <sheet xmlns:r="http://schemas.openxmlformats.org/officeDocument/2006/relationships" name="Backup-Electrical" sheetId="12" state="visible" r:id="rId12"/>
    <sheet xmlns:r="http://schemas.openxmlformats.org/officeDocument/2006/relationships" name="Calc-Electrical" sheetId="13" state="visible" r:id="rId13"/>
    <sheet xmlns:r="http://schemas.openxmlformats.org/officeDocument/2006/relationships" name="Takeoff-External" sheetId="14" state="visible" r:id="rId14"/>
    <sheet xmlns:r="http://schemas.openxmlformats.org/officeDocument/2006/relationships" name="Backup-External" sheetId="15" state="visible" r:id="rId15"/>
    <sheet xmlns:r="http://schemas.openxmlformats.org/officeDocument/2006/relationships" name="Calc-External" sheetId="16" state="visible" r:id="rId16"/>
    <sheet xmlns:r="http://schemas.openxmlformats.org/officeDocument/2006/relationships" name="Takeoff-HVAC" sheetId="17" state="visible" r:id="rId17"/>
    <sheet xmlns:r="http://schemas.openxmlformats.org/officeDocument/2006/relationships" name="Backup-HVAC" sheetId="18" state="visible" r:id="rId18"/>
    <sheet xmlns:r="http://schemas.openxmlformats.org/officeDocument/2006/relationships" name="Calc-HVAC" sheetId="19" state="visible" r:id="rId19"/>
    <sheet xmlns:r="http://schemas.openxmlformats.org/officeDocument/2006/relationships" name="Takeoff-Interior" sheetId="20" state="visible" r:id="rId20"/>
    <sheet xmlns:r="http://schemas.openxmlformats.org/officeDocument/2006/relationships" name="Backup-Interior" sheetId="21" state="visible" r:id="rId21"/>
    <sheet xmlns:r="http://schemas.openxmlformats.org/officeDocument/2006/relationships" name="Calc-Interior" sheetId="22" state="visible" r:id="rId22"/>
    <sheet xmlns:r="http://schemas.openxmlformats.org/officeDocument/2006/relationships" name="Takeoff-Plumbing" sheetId="23" state="visible" r:id="rId23"/>
    <sheet xmlns:r="http://schemas.openxmlformats.org/officeDocument/2006/relationships" name="Backup-Plumbing" sheetId="24" state="visible" r:id="rId24"/>
    <sheet xmlns:r="http://schemas.openxmlformats.org/officeDocument/2006/relationships" name="Calc-Plumbing" sheetId="25" state="visible" r:id="rId25"/>
    <sheet xmlns:r="http://schemas.openxmlformats.org/officeDocument/2006/relationships" name="Takeoff-Preliminaries" sheetId="26" state="visible" r:id="rId26"/>
    <sheet xmlns:r="http://schemas.openxmlformats.org/officeDocument/2006/relationships" name="Backup-Preliminaries" sheetId="27" state="visible" r:id="rId27"/>
    <sheet xmlns:r="http://schemas.openxmlformats.org/officeDocument/2006/relationships" name="Takeoff-Structural" sheetId="28" state="visible" r:id="rId28"/>
    <sheet xmlns:r="http://schemas.openxmlformats.org/officeDocument/2006/relationships" name="Backup-Structural" sheetId="29" state="visible" r:id="rId29"/>
    <sheet xmlns:r="http://schemas.openxmlformats.org/officeDocument/2006/relationships" name="Calc-Structural" sheetId="30" state="visible" r:id="rId30"/>
    <sheet xmlns:r="http://schemas.openxmlformats.org/officeDocument/2006/relationships" name="Schedule &amp; S-Curve" sheetId="31" state="visible" r:id="rId31"/>
    <sheet xmlns:r="http://schemas.openxmlformats.org/officeDocument/2006/relationships" name="Your Pricing Checklist" sheetId="32" state="visible" r:id="rId32"/>
    <sheet xmlns:r="http://schemas.openxmlformats.org/officeDocument/2006/relationships" name="Division Summary" sheetId="33" state="visible" r:id="rId33"/>
    <sheet xmlns:r="http://schemas.openxmlformats.org/officeDocument/2006/relationships" name="Confidence Report" sheetId="34" state="visible" r:id="rId34"/>
    <sheet xmlns:r="http://schemas.openxmlformats.org/officeDocument/2006/relationships" name="Verification Record" sheetId="35" state="visible" r:id="rId35"/>
  </sheets>
  <definedNames>
    <definedName name="MATLOSS">'Settings'!$B$3</definedName>
    <definedName name="MATMARKUP">'Settings'!$B$4</definedName>
    <definedName name="LABMARKUP">'Settings'!$B$5</definedName>
    <definedName name="PREVWAGE">'Settings'!$B$6</definedName>
    <definedName name="DFACTOR">'Settings'!$B$7</definedName>
    <definedName name="GCMARKUP">'Settings'!$B$8</definedName>
    <definedName name="OVERHEAD">'Settings'!$B$9</definedName>
    <definedName name="TAXRATE">'Settings'!$B$10</definedName>
    <definedName name="DURATION">'Indirect Cost'!$B$3</definedName>
  </definedNames>
  <calcPr calcId="124519" fullCalcOnLoad="1"/>
</workbook>
</file>

<file path=xl/styles.xml><?xml version="1.0" encoding="utf-8"?>
<styleSheet xmlns="http://schemas.openxmlformats.org/spreadsheetml/2006/main">
  <numFmts count="3">
    <numFmt numFmtId="164" formatCode="0.0%"/>
    <numFmt numFmtId="165" formatCode="0.0"/>
    <numFmt numFmtId="166" formatCode="#,##0.000"/>
  </numFmts>
  <fonts count="34">
    <font>
      <name val="Calibri"/>
      <family val="2"/>
      <color theme="1"/>
      <sz val="11"/>
      <scheme val="minor"/>
    </font>
    <font>
      <b val="1"/>
      <color rgb="001F4E5F"/>
      <sz val="14"/>
    </font>
    <font>
      <b val="1"/>
    </font>
    <font>
      <b val="1"/>
      <color rgb="001F4E5F"/>
      <sz val="11"/>
    </font>
    <font>
      <b val="1"/>
      <color rgb="001F4E5F"/>
      <sz val="13"/>
    </font>
    <font>
      <color rgb="00666666"/>
      <sz val="8"/>
    </font>
    <font>
      <b val="1"/>
      <color rgb="00FFFFFF"/>
      <sz val="10"/>
    </font>
    <font>
      <b val="1"/>
      <sz val="10"/>
    </font>
    <font>
      <color rgb="0024557E"/>
      <sz val="9"/>
    </font>
    <font>
      <b val="1"/>
      <i val="1"/>
    </font>
    <font>
      <b val="1"/>
      <color rgb="009C0006"/>
      <sz val="9"/>
    </font>
    <font>
      <b val="1"/>
      <color rgb="001F4E5F"/>
      <sz val="16"/>
    </font>
    <font>
      <b val="1"/>
      <sz val="12"/>
    </font>
    <font>
      <b val="1"/>
      <color rgb="001F4E5F"/>
    </font>
    <font/>
    <font>
      <b val="1"/>
      <color rgb="0024557E"/>
    </font>
    <font>
      <b val="1"/>
      <color rgb="009C0006"/>
      <sz val="11"/>
    </font>
    <font>
      <b val="1"/>
      <color rgb="009C0006"/>
    </font>
    <font>
      <i val="1"/>
      <sz val="10"/>
    </font>
    <font>
      <sz val="8"/>
    </font>
    <font>
      <b val="1"/>
      <sz val="8"/>
    </font>
    <font>
      <i val="1"/>
      <color rgb="009C0006"/>
      <sz val="10"/>
    </font>
    <font>
      <b val="1"/>
      <color rgb="009C0006"/>
      <sz val="10"/>
    </font>
    <font>
      <b val="1"/>
      <color rgb="001F4E5F"/>
      <sz val="18"/>
    </font>
    <font>
      <b val="1"/>
      <color rgb="00C0504D"/>
      <sz val="16"/>
    </font>
    <font>
      <b val="1"/>
      <color rgb="001F4E5F"/>
      <sz val="15"/>
    </font>
    <font>
      <i val="1"/>
    </font>
    <font>
      <b val="1"/>
      <sz val="13"/>
    </font>
    <font>
      <b val="1"/>
      <sz val="11"/>
    </font>
    <font>
      <color rgb="00888888"/>
      <sz val="9"/>
    </font>
    <font>
      <b val="1"/>
      <color rgb="001F4E5F"/>
      <u val="single"/>
    </font>
    <font>
      <i val="1"/>
      <color rgb="00666666"/>
      <sz val="9"/>
    </font>
    <font>
      <b val="1"/>
      <color rgb="00FFFFFF"/>
    </font>
    <font>
      <b val="1"/>
      <color rgb="002E7D32"/>
    </font>
  </fonts>
  <fills count="10">
    <fill>
      <patternFill/>
    </fill>
    <fill>
      <patternFill patternType="gray125"/>
    </fill>
    <fill>
      <patternFill patternType="solid">
        <fgColor rgb="00FFF2CC"/>
      </patternFill>
    </fill>
    <fill>
      <patternFill patternType="solid">
        <fgColor rgb="001F4E5F"/>
      </patternFill>
    </fill>
    <fill>
      <patternFill patternType="solid">
        <fgColor rgb="00EDEDED"/>
      </patternFill>
    </fill>
    <fill>
      <patternFill patternType="solid">
        <fgColor rgb="00DCE9F5"/>
      </patternFill>
    </fill>
    <fill>
      <patternFill patternType="solid">
        <fgColor rgb="00F8CBAD"/>
      </patternFill>
    </fill>
    <fill>
      <patternFill patternType="solid">
        <fgColor rgb="00FCE8B2"/>
      </patternFill>
    </fill>
    <fill>
      <patternFill patternType="solid">
        <fgColor rgb="00F2F2F2"/>
      </patternFill>
    </fill>
    <fill>
      <patternFill patternType="solid">
        <fgColor rgb="00FCE4EC"/>
      </patternFill>
    </fill>
  </fills>
  <borders count="11">
    <border>
      <left/>
      <right/>
      <top/>
      <bottom/>
      <diagonal/>
    </border>
    <border>
      <left style="thin">
        <color rgb="00BFBFBF"/>
      </left>
      <right style="thin">
        <color rgb="00BFBFBF"/>
      </right>
      <top style="thin">
        <color rgb="00BFBFBF"/>
      </top>
      <bottom style="thin">
        <color rgb="00BFBFBF"/>
      </bottom>
    </border>
    <border>
      <left style="thin">
        <color rgb="00B0B0B0"/>
      </left>
      <right style="thin">
        <color rgb="00B0B0B0"/>
      </right>
      <top style="thin">
        <color rgb="00B0B0B0"/>
      </top>
      <bottom style="thin">
        <color rgb="00B0B0B0"/>
      </bottom>
    </border>
    <border>
      <left/>
      <right/>
      <top style="thin">
        <color rgb="00B0B0B0"/>
      </top>
      <bottom/>
      <diagonal/>
    </border>
    <border>
      <left style="thin">
        <color rgb="00B0B0B0"/>
      </left>
      <right/>
      <top/>
      <bottom/>
      <diagonal/>
    </border>
    <border>
      <left/>
      <right style="thin">
        <color rgb="00B0B0B0"/>
      </right>
      <top style="thin">
        <color rgb="00B0B0B0"/>
      </top>
      <bottom/>
      <diagonal/>
    </border>
    <border>
      <left/>
      <right style="thin">
        <color rgb="00B0B0B0"/>
      </right>
      <top/>
      <bottom/>
      <diagonal/>
    </border>
    <border>
      <left style="thin">
        <color rgb="00B0B0B0"/>
      </left>
      <right/>
      <top/>
      <bottom style="thin">
        <color rgb="00B0B0B0"/>
      </bottom>
      <diagonal/>
    </border>
    <border>
      <left/>
      <right style="thin">
        <color rgb="00B0B0B0"/>
      </right>
      <top/>
      <bottom style="thin">
        <color rgb="00B0B0B0"/>
      </bottom>
      <diagonal/>
    </border>
    <border>
      <left/>
      <right/>
      <top style="thin">
        <color rgb="00B0B0B0"/>
      </top>
      <bottom style="thin">
        <color rgb="00B0B0B0"/>
      </bottom>
      <diagonal/>
    </border>
    <border>
      <left/>
      <right style="thin">
        <color rgb="00B0B0B0"/>
      </right>
      <top style="thin">
        <color rgb="00B0B0B0"/>
      </top>
      <bottom style="thin">
        <color rgb="00B0B0B0"/>
      </bottom>
      <diagonal/>
    </border>
  </borders>
  <cellStyleXfs count="1">
    <xf numFmtId="0" fontId="0" fillId="0" borderId="0"/>
  </cellStyleXfs>
  <cellXfs count="89">
    <xf numFmtId="0" fontId="0" fillId="0" borderId="0" pivotButton="0" quotePrefix="0" xfId="0"/>
    <xf numFmtId="0" fontId="11" fillId="0" borderId="0" pivotButton="0" quotePrefix="0" xfId="0"/>
    <xf numFmtId="0" fontId="27" fillId="0" borderId="0" pivotButton="0" quotePrefix="0" xfId="0"/>
    <xf numFmtId="0" fontId="2" fillId="0" borderId="0" pivotButton="0" quotePrefix="0" xfId="0"/>
    <xf numFmtId="0" fontId="28" fillId="0" borderId="0" pivotButton="0" quotePrefix="0" xfId="0"/>
    <xf numFmtId="0" fontId="6" fillId="3" borderId="2" pivotButton="0" quotePrefix="0" xfId="0"/>
    <xf numFmtId="0" fontId="0" fillId="0" borderId="2" pivotButton="0" quotePrefix="0" xfId="0"/>
    <xf numFmtId="0" fontId="0" fillId="0" borderId="0" applyAlignment="1" pivotButton="0" quotePrefix="0" xfId="0">
      <alignment vertical="top" wrapText="1"/>
    </xf>
    <xf numFmtId="0" fontId="23" fillId="0" borderId="0" pivotButton="0" quotePrefix="0" xfId="0"/>
    <xf numFmtId="0" fontId="24" fillId="0" borderId="0" pivotButton="0" quotePrefix="0" xfId="0"/>
    <xf numFmtId="0" fontId="12" fillId="0" borderId="0" pivotButton="0" quotePrefix="0" xfId="0"/>
    <xf numFmtId="0" fontId="0" fillId="0" borderId="0" applyAlignment="1" pivotButton="0" quotePrefix="0" xfId="0">
      <alignment wrapText="1"/>
    </xf>
    <xf numFmtId="0" fontId="29" fillId="0" borderId="0" pivotButton="0" quotePrefix="0" xfId="0"/>
    <xf numFmtId="0" fontId="30" fillId="0" borderId="0" pivotButton="0" quotePrefix="0" xfId="0"/>
    <xf numFmtId="0" fontId="31" fillId="0" borderId="0" pivotButton="0" quotePrefix="0" xfId="0"/>
    <xf numFmtId="0" fontId="25" fillId="0" borderId="0" pivotButton="0" quotePrefix="0" xfId="0"/>
    <xf numFmtId="0" fontId="6" fillId="3" borderId="2" applyAlignment="1" pivotButton="0" quotePrefix="0" xfId="0">
      <alignment horizontal="center" vertical="center" wrapText="1"/>
    </xf>
    <xf numFmtId="0" fontId="0" fillId="0" borderId="2" applyAlignment="1" pivotButton="0" quotePrefix="0" xfId="0">
      <alignment horizontal="center" vertical="center"/>
    </xf>
    <xf numFmtId="0" fontId="0" fillId="0" borderId="2" applyAlignment="1" pivotButton="0" quotePrefix="0" xfId="0">
      <alignment horizontal="left" vertical="center" wrapText="1"/>
    </xf>
    <xf numFmtId="0" fontId="26" fillId="0" borderId="0" applyAlignment="1" pivotButton="0" quotePrefix="0" xfId="0">
      <alignment vertical="top" wrapText="1"/>
    </xf>
    <xf numFmtId="0" fontId="1" fillId="0" borderId="0" pivotButton="0" quotePrefix="0" xfId="0"/>
    <xf numFmtId="0" fontId="3" fillId="0" borderId="0" pivotButton="0" quotePrefix="0" xfId="0"/>
    <xf numFmtId="0" fontId="13" fillId="0" borderId="2" applyAlignment="1" pivotButton="0" quotePrefix="0" xfId="0">
      <alignment horizontal="left" vertical="center" wrapText="1"/>
    </xf>
    <xf numFmtId="0" fontId="14" fillId="0" borderId="2" applyAlignment="1" pivotButton="0" quotePrefix="0" xfId="0">
      <alignment horizontal="left" vertical="center" wrapText="1"/>
    </xf>
    <xf numFmtId="4" fontId="0" fillId="0" borderId="2" applyAlignment="1" pivotButton="0" quotePrefix="0" xfId="0">
      <alignment horizontal="right" vertical="center"/>
    </xf>
    <xf numFmtId="0" fontId="2" fillId="0" borderId="2" applyAlignment="1" pivotButton="0" quotePrefix="0" xfId="0">
      <alignment horizontal="left" vertical="center" wrapText="1"/>
    </xf>
    <xf numFmtId="4" fontId="12" fillId="8" borderId="2" applyAlignment="1" pivotButton="0" quotePrefix="0" xfId="0">
      <alignment horizontal="right" vertical="center"/>
    </xf>
    <xf numFmtId="164" fontId="0" fillId="0" borderId="2" applyAlignment="1" pivotButton="0" quotePrefix="0" xfId="0">
      <alignment horizontal="right" vertical="center"/>
    </xf>
    <xf numFmtId="0" fontId="15" fillId="0" borderId="2" applyAlignment="1" pivotButton="0" quotePrefix="0" xfId="0">
      <alignment horizontal="left" vertical="center" wrapText="1"/>
    </xf>
    <xf numFmtId="4" fontId="0" fillId="5" borderId="2" applyAlignment="1" pivotButton="0" quotePrefix="0" xfId="0">
      <alignment horizontal="right" vertical="center"/>
    </xf>
    <xf numFmtId="0" fontId="0" fillId="0" borderId="2" applyAlignment="1" pivotButton="0" quotePrefix="0" xfId="0">
      <alignment vertical="top" wrapText="1"/>
    </xf>
    <xf numFmtId="0" fontId="0" fillId="0" borderId="5" pivotButton="0" quotePrefix="0" xfId="0"/>
    <xf numFmtId="0" fontId="0" fillId="0" borderId="7" pivotButton="0" quotePrefix="0" xfId="0"/>
    <xf numFmtId="0" fontId="0" fillId="0" borderId="8" pivotButton="0" quotePrefix="0" xfId="0"/>
    <xf numFmtId="1" fontId="0" fillId="0" borderId="2" applyAlignment="1" pivotButton="0" quotePrefix="0" xfId="0">
      <alignment horizontal="center" vertical="center"/>
    </xf>
    <xf numFmtId="164" fontId="0" fillId="0" borderId="2" applyAlignment="1" pivotButton="0" quotePrefix="0" xfId="0">
      <alignment horizontal="center" vertical="center"/>
    </xf>
    <xf numFmtId="0" fontId="0" fillId="0" borderId="9" pivotButton="0" quotePrefix="0" xfId="0"/>
    <xf numFmtId="0" fontId="0" fillId="0" borderId="10" pivotButton="0" quotePrefix="0" xfId="0"/>
    <xf numFmtId="164" fontId="0" fillId="2" borderId="0" pivotButton="0" quotePrefix="0" xfId="0"/>
    <xf numFmtId="2" fontId="0" fillId="2" borderId="0" pivotButton="0" quotePrefix="0" xfId="0"/>
    <xf numFmtId="4" fontId="2" fillId="0" borderId="2" applyAlignment="1" pivotButton="0" quotePrefix="0" xfId="0">
      <alignment horizontal="right" vertical="center"/>
    </xf>
    <xf numFmtId="0" fontId="12" fillId="0" borderId="2" applyAlignment="1" pivotButton="0" quotePrefix="0" xfId="0">
      <alignment horizontal="left" vertical="center" wrapText="1"/>
    </xf>
    <xf numFmtId="165" fontId="0" fillId="2" borderId="0" pivotButton="0" quotePrefix="0" xfId="0"/>
    <xf numFmtId="0" fontId="3" fillId="0" borderId="2" applyAlignment="1" pivotButton="0" quotePrefix="0" xfId="0">
      <alignment horizontal="left" vertical="center" wrapText="1"/>
    </xf>
    <xf numFmtId="4" fontId="0" fillId="2" borderId="2" applyAlignment="1" pivotButton="0" quotePrefix="0" xfId="0">
      <alignment horizontal="right" vertical="center"/>
    </xf>
    <xf numFmtId="165" fontId="0" fillId="0" borderId="2" applyAlignment="1" pivotButton="0" quotePrefix="0" xfId="0">
      <alignment horizontal="right" vertical="center"/>
    </xf>
    <xf numFmtId="1" fontId="0" fillId="0" borderId="2" applyAlignment="1" pivotButton="0" quotePrefix="0" xfId="0">
      <alignment horizontal="right" vertical="center"/>
    </xf>
    <xf numFmtId="4" fontId="0" fillId="6" borderId="2" applyAlignment="1" pivotButton="0" quotePrefix="0" xfId="0">
      <alignment horizontal="right" vertical="center"/>
    </xf>
    <xf numFmtId="4" fontId="2" fillId="8" borderId="2" applyAlignment="1" pivotButton="0" quotePrefix="0" xfId="0">
      <alignment horizontal="right" vertical="center"/>
    </xf>
    <xf numFmtId="164" fontId="0" fillId="2" borderId="2" applyAlignment="1" pivotButton="0" quotePrefix="0" xfId="0">
      <alignment horizontal="right" vertical="center"/>
    </xf>
    <xf numFmtId="0" fontId="0" fillId="5" borderId="2" applyAlignment="1" pivotButton="0" quotePrefix="0" xfId="0">
      <alignment horizontal="center" vertical="center"/>
    </xf>
    <xf numFmtId="4" fontId="0" fillId="7" borderId="2" applyAlignment="1" pivotButton="0" quotePrefix="0" xfId="0">
      <alignment horizontal="right" vertical="center"/>
    </xf>
    <xf numFmtId="0" fontId="0" fillId="7" borderId="2" applyAlignment="1" pivotButton="0" quotePrefix="0" xfId="0">
      <alignment horizontal="center" vertical="center"/>
    </xf>
    <xf numFmtId="0" fontId="8" fillId="0" borderId="2" applyAlignment="1" pivotButton="0" quotePrefix="0" xfId="0">
      <alignment horizontal="left" vertical="center" wrapText="1"/>
    </xf>
    <xf numFmtId="4" fontId="9" fillId="5" borderId="2" applyAlignment="1" pivotButton="0" quotePrefix="0" xfId="0">
      <alignment horizontal="right" vertical="center"/>
    </xf>
    <xf numFmtId="0" fontId="4" fillId="0" borderId="0" pivotButton="0" quotePrefix="0" xfId="0"/>
    <xf numFmtId="0" fontId="5" fillId="0" borderId="0" pivotButton="0" quotePrefix="0" xfId="0"/>
    <xf numFmtId="0" fontId="6" fillId="3" borderId="1" applyAlignment="1" pivotButton="0" quotePrefix="0" xfId="0">
      <alignment horizontal="center" vertical="center" wrapText="1"/>
    </xf>
    <xf numFmtId="0" fontId="5" fillId="0" borderId="0" applyAlignment="1" pivotButton="0" quotePrefix="0" xfId="0">
      <alignment horizontal="center"/>
    </xf>
    <xf numFmtId="0" fontId="0" fillId="2" borderId="1" applyAlignment="1" pivotButton="0" quotePrefix="0" xfId="0">
      <alignment vertical="top" wrapText="1"/>
    </xf>
    <xf numFmtId="3" fontId="0" fillId="2" borderId="1" pivotButton="0" quotePrefix="0" xfId="0"/>
    <xf numFmtId="166" fontId="0" fillId="2" borderId="1" pivotButton="0" quotePrefix="0" xfId="0"/>
    <xf numFmtId="166" fontId="0" fillId="4" borderId="1" pivotButton="0" quotePrefix="0" xfId="0"/>
    <xf numFmtId="166" fontId="7" fillId="5" borderId="1" pivotButton="0" quotePrefix="0" xfId="0"/>
    <xf numFmtId="0" fontId="7" fillId="0" borderId="0" pivotButton="0" quotePrefix="0" xfId="0"/>
    <xf numFmtId="0" fontId="0" fillId="9" borderId="2" applyAlignment="1" pivotButton="0" quotePrefix="0" xfId="0">
      <alignment horizontal="center" vertical="center"/>
    </xf>
    <xf numFmtId="0" fontId="10" fillId="0" borderId="2" applyAlignment="1" pivotButton="0" quotePrefix="0" xfId="0">
      <alignment horizontal="left" vertical="center" wrapText="1"/>
    </xf>
    <xf numFmtId="9" fontId="17" fillId="0" borderId="2" applyAlignment="1" pivotButton="0" quotePrefix="0" xfId="0">
      <alignment horizontal="center" vertical="center"/>
    </xf>
    <xf numFmtId="164" fontId="0" fillId="2" borderId="2" applyAlignment="1" pivotButton="0" quotePrefix="0" xfId="0">
      <alignment horizontal="center"/>
    </xf>
    <xf numFmtId="0" fontId="0" fillId="2" borderId="2" applyAlignment="1" pivotButton="0" quotePrefix="0" xfId="0">
      <alignment horizontal="center"/>
    </xf>
    <xf numFmtId="164" fontId="19" fillId="0" borderId="0" applyAlignment="1" pivotButton="0" quotePrefix="0" xfId="0">
      <alignment horizontal="center"/>
    </xf>
    <xf numFmtId="9" fontId="0" fillId="0" borderId="2" applyAlignment="1" pivotButton="0" quotePrefix="0" xfId="0">
      <alignment horizontal="center" vertical="center"/>
    </xf>
    <xf numFmtId="164" fontId="2" fillId="0" borderId="2" pivotButton="0" quotePrefix="0" xfId="0"/>
    <xf numFmtId="164" fontId="20" fillId="0" borderId="0" pivotButton="0" quotePrefix="0" xfId="0"/>
    <xf numFmtId="9" fontId="19" fillId="0" borderId="0" pivotButton="0" quotePrefix="0" xfId="0"/>
    <xf numFmtId="0" fontId="21" fillId="0" borderId="0" applyAlignment="1" pivotButton="0" quotePrefix="0" xfId="0">
      <alignment vertical="top" wrapText="1"/>
    </xf>
    <xf numFmtId="0" fontId="16" fillId="0" borderId="0" applyAlignment="1" pivotButton="0" quotePrefix="0" xfId="0">
      <alignment vertical="top" wrapText="1"/>
    </xf>
    <xf numFmtId="0" fontId="17" fillId="0" borderId="2" applyAlignment="1" pivotButton="0" quotePrefix="0" xfId="0">
      <alignment horizontal="center" vertical="center"/>
    </xf>
    <xf numFmtId="0" fontId="2" fillId="0" borderId="2" applyAlignment="1" pivotButton="0" quotePrefix="0" xfId="0">
      <alignment horizontal="center" vertical="center"/>
    </xf>
    <xf numFmtId="9" fontId="2" fillId="0" borderId="2" applyAlignment="1" pivotButton="0" quotePrefix="0" xfId="0">
      <alignment horizontal="center" vertical="center"/>
    </xf>
    <xf numFmtId="0" fontId="18" fillId="0" borderId="0" applyAlignment="1" pivotButton="0" quotePrefix="0" xfId="0">
      <alignment vertical="top" wrapText="1"/>
    </xf>
    <xf numFmtId="0" fontId="22" fillId="0" borderId="0" applyAlignment="1" pivotButton="0" quotePrefix="0" xfId="0">
      <alignment wrapText="1"/>
    </xf>
    <xf numFmtId="165" fontId="0" fillId="2" borderId="0" pivotButton="0" quotePrefix="0" xfId="0"/>
    <xf numFmtId="165" fontId="0" fillId="0" borderId="2" applyAlignment="1" pivotButton="0" quotePrefix="0" xfId="0">
      <alignment horizontal="right" vertical="center"/>
    </xf>
    <xf numFmtId="166" fontId="0" fillId="2" borderId="1" pivotButton="0" quotePrefix="0" xfId="0"/>
    <xf numFmtId="166" fontId="0" fillId="4" borderId="1" pivotButton="0" quotePrefix="0" xfId="0"/>
    <xf numFmtId="166" fontId="7" fillId="5" borderId="1" pivotButton="0" quotePrefix="0" xfId="0"/>
    <xf numFmtId="0" fontId="32" fillId="3" borderId="0" pivotButton="0" quotePrefix="0" xfId="0"/>
    <xf numFmtId="0" fontId="33" fillId="0" borderId="0" pivotButton="0" quotePrefix="0" xfId="0"/>
  </cellXfs>
  <cellStyles count="1">
    <cellStyle name="Normal" xfId="0" builtinId="0" hidden="0"/>
  </cellStyles>
  <dxfs count="3">
    <dxf>
      <fill>
        <patternFill patternType="solid">
          <fgColor rgb="00D9EAD3"/>
        </patternFill>
      </fill>
    </dxf>
    <dxf>
      <fill>
        <patternFill patternType="solid">
          <fgColor rgb="00FCE8B2"/>
        </patternFill>
      </fill>
    </dxf>
    <dxf>
      <fill>
        <patternFill patternType="solid">
          <fgColor rgb="00BDD7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styles" Target="styles.xml" Id="rId36"/><Relationship Type="http://schemas.openxmlformats.org/officeDocument/2006/relationships/theme" Target="theme/theme1.xml" Id="rId3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Direct cost share by trade</a:t>
            </a:r>
          </a:p>
        </rich>
      </tx>
    </title>
    <plotArea>
      <doughnutChart>
        <varyColors val="1"/>
        <ser>
          <idx val="0"/>
          <order val="0"/>
          <spPr>
            <a:ln xmlns:a="http://schemas.openxmlformats.org/drawingml/2006/main">
              <a:prstDash val="solid"/>
            </a:ln>
          </spPr>
          <cat>
            <numRef>
              <f>'Dashboard'!$A$19:$A$26</f>
            </numRef>
          </cat>
          <val>
            <numRef>
              <f>'Dashboard'!$B$19:$B$26</f>
            </numRef>
          </val>
        </ser>
        <firstSliceAng val="0"/>
        <holeSize val="10"/>
      </doughnut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S-Curve — cumulative % of work complete</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val>
            <numRef>
              <f>'Schedule &amp; S-Curve'!$G$22:$X$22</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 complete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oneCellAnchor>
    <from>
      <col>3</col>
      <colOff>0</colOff>
      <row>16</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0</col>
      <colOff>0</colOff>
      <row>24</row>
      <rowOff>0</rowOff>
    </from>
    <ext cx="86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Cover'!A1" TargetMode="External" Id="rId1"/><Relationship Type="http://schemas.openxmlformats.org/officeDocument/2006/relationships/hyperlink" Target="#'Basis of Measurement'!A1" TargetMode="External" Id="rId2"/><Relationship Type="http://schemas.openxmlformats.org/officeDocument/2006/relationships/hyperlink" Target="#'Dashboard'!A1" TargetMode="External" Id="rId3"/><Relationship Type="http://schemas.openxmlformats.org/officeDocument/2006/relationships/hyperlink" Target="#'Settings'!A1" TargetMode="External" Id="rId4"/><Relationship Type="http://schemas.openxmlformats.org/officeDocument/2006/relationships/hyperlink" Target="#'Quote Summary'!A1" TargetMode="External" Id="rId5"/><Relationship Type="http://schemas.openxmlformats.org/officeDocument/2006/relationships/hyperlink" Target="#'Indirect Cost'!A1" TargetMode="External" Id="rId6"/><Relationship Type="http://schemas.openxmlformats.org/officeDocument/2006/relationships/hyperlink" Target="#'Takeoff-Architectural'!A1" TargetMode="External" Id="rId7"/><Relationship Type="http://schemas.openxmlformats.org/officeDocument/2006/relationships/hyperlink" Target="#'Backup-Architectural'!A1" TargetMode="External" Id="rId8"/><Relationship Type="http://schemas.openxmlformats.org/officeDocument/2006/relationships/hyperlink" Target="#'Calc-Architectural'!A1" TargetMode="External" Id="rId9"/><Relationship Type="http://schemas.openxmlformats.org/officeDocument/2006/relationships/hyperlink" Target="#'Takeoff-Electrical'!A1" TargetMode="External" Id="rId10"/><Relationship Type="http://schemas.openxmlformats.org/officeDocument/2006/relationships/hyperlink" Target="#'Backup-Electrical'!A1" TargetMode="External" Id="rId11"/><Relationship Type="http://schemas.openxmlformats.org/officeDocument/2006/relationships/hyperlink" Target="#'Calc-Electrical'!A1" TargetMode="External" Id="rId12"/><Relationship Type="http://schemas.openxmlformats.org/officeDocument/2006/relationships/hyperlink" Target="#'Takeoff-External'!A1" TargetMode="External" Id="rId13"/><Relationship Type="http://schemas.openxmlformats.org/officeDocument/2006/relationships/hyperlink" Target="#'Backup-External'!A1" TargetMode="External" Id="rId14"/><Relationship Type="http://schemas.openxmlformats.org/officeDocument/2006/relationships/hyperlink" Target="#'Calc-External'!A1" TargetMode="External" Id="rId15"/><Relationship Type="http://schemas.openxmlformats.org/officeDocument/2006/relationships/hyperlink" Target="#'Takeoff-HVAC'!A1" TargetMode="External" Id="rId16"/><Relationship Type="http://schemas.openxmlformats.org/officeDocument/2006/relationships/hyperlink" Target="#'Backup-HVAC'!A1" TargetMode="External" Id="rId17"/><Relationship Type="http://schemas.openxmlformats.org/officeDocument/2006/relationships/hyperlink" Target="#'Calc-HVAC'!A1" TargetMode="External" Id="rId18"/><Relationship Type="http://schemas.openxmlformats.org/officeDocument/2006/relationships/hyperlink" Target="#'Takeoff-Interior'!A1" TargetMode="External" Id="rId19"/><Relationship Type="http://schemas.openxmlformats.org/officeDocument/2006/relationships/hyperlink" Target="#'Backup-Interior'!A1" TargetMode="External" Id="rId20"/><Relationship Type="http://schemas.openxmlformats.org/officeDocument/2006/relationships/hyperlink" Target="#'Calc-Interior'!A1" TargetMode="External" Id="rId21"/><Relationship Type="http://schemas.openxmlformats.org/officeDocument/2006/relationships/hyperlink" Target="#'Takeoff-Plumbing'!A1" TargetMode="External" Id="rId22"/><Relationship Type="http://schemas.openxmlformats.org/officeDocument/2006/relationships/hyperlink" Target="#'Backup-Plumbing'!A1" TargetMode="External" Id="rId23"/><Relationship Type="http://schemas.openxmlformats.org/officeDocument/2006/relationships/hyperlink" Target="#'Calc-Plumbing'!A1" TargetMode="External" Id="rId24"/><Relationship Type="http://schemas.openxmlformats.org/officeDocument/2006/relationships/hyperlink" Target="#'Takeoff-Preliminaries'!A1" TargetMode="External" Id="rId25"/><Relationship Type="http://schemas.openxmlformats.org/officeDocument/2006/relationships/hyperlink" Target="#'Backup-Preliminaries'!A1" TargetMode="External" Id="rId26"/><Relationship Type="http://schemas.openxmlformats.org/officeDocument/2006/relationships/hyperlink" Target="#'Takeoff-Structural'!A1" TargetMode="External" Id="rId27"/><Relationship Type="http://schemas.openxmlformats.org/officeDocument/2006/relationships/hyperlink" Target="#'Backup-Structural'!A1" TargetMode="External" Id="rId28"/><Relationship Type="http://schemas.openxmlformats.org/officeDocument/2006/relationships/hyperlink" Target="#'Calc-Structural'!A1" TargetMode="External" Id="rId29"/><Relationship Type="http://schemas.openxmlformats.org/officeDocument/2006/relationships/hyperlink" Target="#'Schedule &amp; S-Curve'!A1" TargetMode="External" Id="rId30"/><Relationship Type="http://schemas.openxmlformats.org/officeDocument/2006/relationships/hyperlink" Target="#'Your Pricing Checklist'!A1" TargetMode="External" Id="rId31"/><Relationship Type="http://schemas.openxmlformats.org/officeDocument/2006/relationships/hyperlink" Target="#'Division Summary'!A1" TargetMode="External" Id="rId32"/><Relationship Type="http://schemas.openxmlformats.org/officeDocument/2006/relationships/hyperlink" Target="#'Pricing Basis'!A1" TargetMode="External" Id="rId33"/><Relationship Type="http://schemas.openxmlformats.org/officeDocument/2006/relationships/hyperlink" Target="#'Confidence Report'!A1" TargetMode="External" Id="rId34"/></Relationships>
</file>

<file path=xl/worksheets/_rels/sheet31.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F31"/>
  <sheetViews>
    <sheetView workbookViewId="0">
      <selection activeCell="A1" sqref="A1"/>
    </sheetView>
  </sheetViews>
  <sheetFormatPr baseColWidth="8" defaultRowHeight="15"/>
  <cols>
    <col width="4" customWidth="1" min="1" max="1"/>
    <col width="24" customWidth="1" min="2" max="2"/>
    <col width="24" customWidth="1" min="3" max="3"/>
    <col width="24" customWidth="1" min="4" max="4"/>
    <col width="24" customWidth="1" min="5" max="5"/>
    <col width="18" customWidth="1" min="6" max="6"/>
  </cols>
  <sheetData>
    <row r="1"/>
    <row r="2"/>
    <row r="3">
      <c r="B3" s="1" t="inlineStr">
        <is>
          <t>FIRST-DRAFT QUANTITY TAKEOFF WORKBOOK</t>
        </is>
      </c>
    </row>
    <row r="4"/>
    <row r="5">
      <c r="B5" s="2" t="inlineStr">
        <is>
          <t>dt-demo-maple-hall</t>
        </is>
      </c>
    </row>
    <row r="6"/>
    <row r="7">
      <c r="B7" s="3" t="inlineStr">
        <is>
          <t>Prepared for</t>
        </is>
      </c>
      <c r="C7" t="inlineStr">
        <is>
          <t>Client</t>
        </is>
      </c>
    </row>
    <row r="8">
      <c r="B8" s="3" t="inlineStr">
        <is>
          <t>Prepared by</t>
        </is>
      </c>
      <c r="C8" t="inlineStr">
        <is>
          <t>DraftTakeoff — automated first-draft takeoff and bid-screening reports</t>
        </is>
      </c>
    </row>
    <row r="9">
      <c r="B9" s="3" t="inlineStr">
        <is>
          <t>Deliverable tier</t>
        </is>
      </c>
      <c r="C9" t="inlineStr">
        <is>
          <t>FIRST DRAFT — starting point for your own estimate, not a final takeoff</t>
        </is>
      </c>
    </row>
    <row r="10">
      <c r="B10" s="3" t="inlineStr">
        <is>
          <t>Units</t>
        </is>
      </c>
      <c r="C10" t="inlineStr">
        <is>
          <t>Imperial (metric mirror in every Backup sheet)</t>
        </is>
      </c>
    </row>
    <row r="11">
      <c r="B11" s="3" t="inlineStr">
        <is>
          <t>Classification standard</t>
        </is>
      </c>
      <c r="C11" t="inlineStr">
        <is>
          <t>CSI MasterFormat divisions</t>
        </is>
      </c>
    </row>
    <row r="12">
      <c r="B12" s="3" t="inlineStr">
        <is>
          <t>Date issued</t>
        </is>
      </c>
      <c r="C12" t="inlineStr">
        <is>
          <t>30 Aug 2026</t>
        </is>
      </c>
    </row>
    <row r="13">
      <c r="B13" s="3" t="inlineStr">
        <is>
          <t>Revision</t>
        </is>
      </c>
      <c r="C13" t="inlineStr">
        <is>
          <t>A — initial issue</t>
        </is>
      </c>
    </row>
    <row r="14"/>
    <row r="15">
      <c r="B15" s="4" t="inlineStr">
        <is>
          <t>Revision record</t>
        </is>
      </c>
    </row>
    <row r="16">
      <c r="B16" s="5" t="inlineStr">
        <is>
          <t>Rev</t>
        </is>
      </c>
      <c r="C16" s="5" t="inlineStr">
        <is>
          <t>Date</t>
        </is>
      </c>
      <c r="D16" s="5" t="inlineStr">
        <is>
          <t>Description</t>
        </is>
      </c>
      <c r="E16" s="5" t="inlineStr">
        <is>
          <t>By</t>
        </is>
      </c>
    </row>
    <row r="17">
      <c r="B17" s="6" t="inlineStr">
        <is>
          <t>A</t>
        </is>
      </c>
      <c r="C17" s="6" t="inlineStr">
        <is>
          <t>30 Aug 2026</t>
        </is>
      </c>
      <c r="D17" s="6" t="inlineStr">
        <is>
          <t>Initial issue</t>
        </is>
      </c>
      <c r="E17" s="6" t="inlineStr">
        <is>
          <t>GT</t>
        </is>
      </c>
    </row>
    <row r="18">
      <c r="B18" s="6" t="n"/>
      <c r="C18" s="6" t="n"/>
      <c r="D18" s="6" t="n"/>
      <c r="E18" s="6" t="n"/>
    </row>
    <row r="19">
      <c r="B19" s="6" t="n"/>
      <c r="C19" s="6" t="n"/>
      <c r="D19" s="6" t="n"/>
      <c r="E19" s="6" t="n"/>
    </row>
    <row r="20">
      <c r="B20" s="6" t="n"/>
      <c r="C20" s="6" t="n"/>
      <c r="D20" s="6" t="n"/>
      <c r="E20" s="6" t="n"/>
    </row>
    <row r="21"/>
    <row r="22">
      <c r="B22" s="7" t="inlineStr">
        <is>
          <t>FIRST-DRAFT TAKE-OFF — NOT A BID DOCUMENT.  WHAT IT IS FOR (budget_or_feasibility): A Class 5 concept screening range, not a price. The band on the front page is the answer; any single figure inside it is not.  WHAT THIS IS: a first-draft quantity take-off measured from the drawings you supplied, with every quantity backed by a calculation sheet you can open, check and change.  THE PRICES: where a rate is shown it is a PRELIMINARY GUIDELINE ONLY — a starting figure to help you judge scale. It is not a quotation, not a final price, and not a figure to submit in a tender. Rates we could not establish are left as EMPTY YELLOW CELLS for you to complete with your own costs. You are expected to price this work yourself.  BEFORE YOU RELY ON IT: verify the quantities against your full drawing set and add your own overheads, contingency and professional judgement. Read the Confidence Report sheet — it states, item by item, how confident we are and what the drawings did not tell us.  LIMITATION: this document is supplied as-is, with no warranty of accuracy, completeness or fitness for any purpose, and is priced low precisely because it is a rapid draft rather than a checked estimate. We accept no liability for any loss arising from its use, including any bid submitted in reliance on it. Our total liability is limited to the fee paid for this document.</t>
        </is>
      </c>
    </row>
    <row r="23"/>
    <row r="24"/>
    <row r="25"/>
    <row r="26"/>
    <row r="27"/>
    <row r="28"/>
    <row r="29"/>
    <row r="30"/>
    <row r="31"/>
  </sheetData>
  <sheetProtection selectLockedCells="1" selectUnlockedCells="1" sheet="1" objects="0" insertRows="1" insertHyperlinks="1" autoFilter="1" scenarios="0" formatColumns="1" deleteColumns="1" insertColumns="1" pivotTables="1" deleteRows="1" formatCells="1" formatRows="1" sort="1"/>
  <mergeCells count="1">
    <mergeCell ref="B22:F31"/>
  </mergeCells>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0.xml><?xml version="1.0" encoding="utf-8"?>
<worksheet xmlns="http://schemas.openxmlformats.org/spreadsheetml/2006/main">
  <sheetPr>
    <tabColor rgb="001F4E5F"/>
    <outlinePr summaryBelow="1" summaryRight="1"/>
    <pageSetUpPr fitToPage="1"/>
  </sheetPr>
  <dimension ref="A1:J108"/>
  <sheetViews>
    <sheetView showGridLines="0" workbookViewId="0">
      <pane ySplit="3" topLeftCell="A4" activePane="bottomLeft" state="frozen"/>
      <selection pane="bottomLeft" activeCell="A1" sqref="A1"/>
    </sheetView>
  </sheetViews>
  <sheetFormatPr baseColWidth="8" defaultRowHeight="15"/>
  <cols>
    <col width="32" customWidth="1" min="2" max="2"/>
    <col width="12" customWidth="1" min="3" max="3"/>
    <col width="9" customWidth="1" min="4" max="4"/>
    <col width="9" customWidth="1" min="5" max="5"/>
    <col width="10" customWidth="1" min="6" max="6"/>
    <col width="8" customWidth="1" min="7" max="7"/>
    <col width="34" customWidth="1" min="8" max="8"/>
    <col width="12" customWidth="1" min="9" max="9"/>
    <col width="12" customWidth="1" min="10" max="10"/>
  </cols>
  <sheetData>
    <row r="1">
      <c r="A1" s="55" t="inlineStr">
        <is>
          <t>Calculation sheet — Architectural</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8 in CMU bearing wall, fully grouted at 48 in o.c. and at all openings</t>
        </is>
      </c>
      <c r="F4" s="56" t="inlineStr">
        <is>
          <t>04 22 00 | unit masonry | A-101, A-201, A-401</t>
        </is>
      </c>
    </row>
    <row r="5">
      <c r="A5" s="56" t="inlineStr">
        <is>
          <t>Enter positive rows for wall runs and NEGATIVE count rows for door/window openings to deduct, exactly as a measurement sheet does — the deduction stays visible and auditable instead of being silently netted off.</t>
        </is>
      </c>
    </row>
    <row r="6">
      <c r="A6" s="57" t="inlineStr">
        <is>
          <t>#</t>
        </is>
      </c>
      <c r="B6" s="57" t="inlineStr">
        <is>
          <t>Wall run / Opening</t>
        </is>
      </c>
      <c r="C6" s="57" t="inlineStr">
        <is>
          <t>No. (use -1 to deduct)</t>
        </is>
      </c>
      <c r="D6" s="57" t="inlineStr">
        <is>
          <t>Length
(m)</t>
        </is>
      </c>
      <c r="E6" s="57" t="inlineStr">
        <is>
          <t>Height
(m)</t>
        </is>
      </c>
      <c r="F6" s="57" t="inlineStr">
        <is>
          <t>Wall type</t>
        </is>
      </c>
      <c r="G6" s="57" t="inlineStr">
        <is>
          <t>Factor</t>
        </is>
      </c>
      <c r="H6" s="57" t="inlineStr">
        <is>
          <t>Net area
(m2)</t>
        </is>
      </c>
      <c r="I6" s="57" t="inlineStr">
        <is>
          <t>Both faces
(m2)</t>
        </is>
      </c>
      <c r="J6" s="57" t="inlineStr">
        <is>
          <t>CMU-EXT</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formula</t>
        </is>
      </c>
      <c r="I7" s="58" t="inlineStr">
        <is>
          <t>formula</t>
        </is>
      </c>
      <c r="J7" s="58" t="inlineStr">
        <is>
          <t>formula</t>
        </is>
      </c>
    </row>
    <row r="8">
      <c r="A8" s="56" t="n">
        <v>1</v>
      </c>
      <c r="B8" s="59" t="inlineStr">
        <is>
          <t>Perimeter CMU wall, A-101/A-201</t>
        </is>
      </c>
      <c r="C8" s="60" t="n">
        <v>1</v>
      </c>
      <c r="D8" s="84" t="n">
        <v>73.152</v>
      </c>
      <c r="E8" s="84" t="n">
        <v>4.267</v>
      </c>
      <c r="F8" s="59" t="inlineStr">
        <is>
          <t>CMU-EXT</t>
        </is>
      </c>
      <c r="G8" s="84" t="n">
        <v>1</v>
      </c>
      <c r="H8" s="85">
        <f>(C8*D8*E8)*G8</f>
        <v/>
      </c>
      <c r="I8" s="85">
        <f>H8*2</f>
        <v/>
      </c>
      <c r="J8" s="85">
        <f>IF($F8=J$6,H8,0)</f>
        <v/>
      </c>
    </row>
    <row r="9">
      <c r="A9" s="56" t="n">
        <v>2</v>
      </c>
      <c r="B9" s="59" t="inlineStr">
        <is>
          <t>Less scheduled exterior openings, A-601</t>
        </is>
      </c>
      <c r="C9" s="60" t="n">
        <v>-1</v>
      </c>
      <c r="D9" s="84" t="n">
        <v>55.556</v>
      </c>
      <c r="E9" s="84" t="n">
        <v>1</v>
      </c>
      <c r="F9" s="59" t="inlineStr">
        <is>
          <t>CMU-EXT</t>
        </is>
      </c>
      <c r="G9" s="84" t="n">
        <v>1</v>
      </c>
      <c r="H9" s="85">
        <f>(C9*D9*E9)*G9</f>
        <v/>
      </c>
      <c r="I9" s="85">
        <f>H9*2</f>
        <v/>
      </c>
      <c r="J9" s="85">
        <f>IF($F9=J$6,H9,0)</f>
        <v/>
      </c>
    </row>
    <row r="10">
      <c r="A10" s="56" t="inlineStr">
        <is>
          <t>note: linked to the Backup sheet as m2 x 10.7639 = SF</t>
        </is>
      </c>
      <c r="H10" s="86">
        <f>SUM(H8:H9)</f>
        <v/>
      </c>
      <c r="I10" s="86">
        <f>SUM(I8:I9)</f>
        <v/>
      </c>
      <c r="J10" s="86">
        <f>SUM(J8:J9)</f>
        <v/>
      </c>
    </row>
    <row r="11"/>
    <row r="12"/>
    <row r="13">
      <c r="A13" s="21" t="inlineStr">
        <is>
          <t>Face brick, 3-5/8 in, running bond, to 3'-4 in above finished floor</t>
        </is>
      </c>
      <c r="F13" s="56" t="inlineStr">
        <is>
          <t>04 21 13 | face brick | A-201, A-401</t>
        </is>
      </c>
    </row>
    <row r="14">
      <c r="A14" s="56" t="inlineStr">
        <is>
          <t>Enter positive rows for wall runs and NEGATIVE count rows for door/window openings to deduct, exactly as a measurement sheet does — the deduction stays visible and auditable instead of being silently netted off.</t>
        </is>
      </c>
    </row>
    <row r="15">
      <c r="A15" s="57" t="inlineStr">
        <is>
          <t>#</t>
        </is>
      </c>
      <c r="B15" s="57" t="inlineStr">
        <is>
          <t>Wall run / Opening</t>
        </is>
      </c>
      <c r="C15" s="57" t="inlineStr">
        <is>
          <t>No. (use -1 to deduct)</t>
        </is>
      </c>
      <c r="D15" s="57" t="inlineStr">
        <is>
          <t>Length
(m)</t>
        </is>
      </c>
      <c r="E15" s="57" t="inlineStr">
        <is>
          <t>Height
(m)</t>
        </is>
      </c>
      <c r="F15" s="57" t="inlineStr">
        <is>
          <t>Wall type</t>
        </is>
      </c>
      <c r="G15" s="57" t="inlineStr">
        <is>
          <t>Factor</t>
        </is>
      </c>
      <c r="H15" s="57" t="inlineStr">
        <is>
          <t>Net area
(m2)</t>
        </is>
      </c>
      <c r="I15" s="57" t="inlineStr">
        <is>
          <t>Both faces
(m2)</t>
        </is>
      </c>
      <c r="J15" s="57" t="inlineStr">
        <is>
          <t>BRICK</t>
        </is>
      </c>
    </row>
    <row r="16">
      <c r="A16" s="56" t="inlineStr">
        <is>
          <t>edit →</t>
        </is>
      </c>
      <c r="B16" s="58" t="inlineStr">
        <is>
          <t>editable</t>
        </is>
      </c>
      <c r="C16" s="58" t="inlineStr">
        <is>
          <t>editable</t>
        </is>
      </c>
      <c r="D16" s="58" t="inlineStr">
        <is>
          <t>editable</t>
        </is>
      </c>
      <c r="E16" s="58" t="inlineStr">
        <is>
          <t>editable</t>
        </is>
      </c>
      <c r="F16" s="58" t="inlineStr">
        <is>
          <t>editable</t>
        </is>
      </c>
      <c r="G16" s="58" t="inlineStr">
        <is>
          <t>editable</t>
        </is>
      </c>
      <c r="H16" s="58" t="inlineStr">
        <is>
          <t>formula</t>
        </is>
      </c>
      <c r="I16" s="58" t="inlineStr">
        <is>
          <t>formula</t>
        </is>
      </c>
      <c r="J16" s="58" t="inlineStr">
        <is>
          <t>formula</t>
        </is>
      </c>
    </row>
    <row r="17">
      <c r="A17" s="56" t="n">
        <v>1</v>
      </c>
      <c r="B17" s="59" t="inlineStr">
        <is>
          <t>Brick band to 3'-4, A-201</t>
        </is>
      </c>
      <c r="C17" s="60" t="n">
        <v>1</v>
      </c>
      <c r="D17" s="84" t="n">
        <v>73.152</v>
      </c>
      <c r="E17" s="84" t="n">
        <v>1.016</v>
      </c>
      <c r="F17" s="59" t="inlineStr">
        <is>
          <t>BRICK</t>
        </is>
      </c>
      <c r="G17" s="84" t="n">
        <v>1</v>
      </c>
      <c r="H17" s="85">
        <f>(C17*D17*E17)*G17</f>
        <v/>
      </c>
      <c r="I17" s="85">
        <f>H17*2</f>
        <v/>
      </c>
      <c r="J17" s="85">
        <f>IF($F17=J$15,H17,0)</f>
        <v/>
      </c>
    </row>
    <row r="18">
      <c r="A18" s="56" t="inlineStr">
        <is>
          <t>note: linked to the Backup sheet as m2 x 10.7639 = SF</t>
        </is>
      </c>
      <c r="H18" s="86">
        <f>SUM(H17:H17)</f>
        <v/>
      </c>
      <c r="I18" s="86">
        <f>SUM(I17:I17)</f>
        <v/>
      </c>
      <c r="J18" s="86">
        <f>SUM(J17:J17)</f>
        <v/>
      </c>
    </row>
    <row r="19"/>
    <row r="20"/>
    <row r="21">
      <c r="A21" s="21" t="inlineStr">
        <is>
          <t>60 mil TPO single ply membrane, mechanically fastened</t>
        </is>
      </c>
      <c r="G21" s="56" t="inlineStr">
        <is>
          <t>07 54 23 | roofing membrane | A-301, A-401</t>
        </is>
      </c>
    </row>
    <row r="22">
      <c r="A22"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23">
      <c r="A23" s="57" t="inlineStr">
        <is>
          <t>#</t>
        </is>
      </c>
      <c r="B23" s="57" t="inlineStr">
        <is>
          <t>Room / Zone</t>
        </is>
      </c>
      <c r="C23" s="57" t="inlineStr">
        <is>
          <t>No.</t>
        </is>
      </c>
      <c r="D23" s="57" t="inlineStr">
        <is>
          <t>Length
(m)</t>
        </is>
      </c>
      <c r="E23" s="57" t="inlineStr">
        <is>
          <t>Width
(m)</t>
        </is>
      </c>
      <c r="F23" s="57" t="inlineStr">
        <is>
          <t>Finish code</t>
        </is>
      </c>
      <c r="G23" s="57" t="inlineStr">
        <is>
          <t>Area (measured directly)
(m2)</t>
        </is>
      </c>
      <c r="H23" s="57" t="inlineStr">
        <is>
          <t>Factor</t>
        </is>
      </c>
      <c r="I23" s="57" t="inlineStr">
        <is>
          <t>Area
(m2)</t>
        </is>
      </c>
      <c r="J23" s="57" t="inlineStr">
        <is>
          <t>ROOF</t>
        </is>
      </c>
    </row>
    <row r="24">
      <c r="A24" s="56" t="inlineStr">
        <is>
          <t>edit →</t>
        </is>
      </c>
      <c r="B24" s="58" t="inlineStr">
        <is>
          <t>editable</t>
        </is>
      </c>
      <c r="C24" s="58" t="inlineStr">
        <is>
          <t>editable</t>
        </is>
      </c>
      <c r="D24" s="58" t="inlineStr">
        <is>
          <t>editable</t>
        </is>
      </c>
      <c r="E24" s="58" t="inlineStr">
        <is>
          <t>editable</t>
        </is>
      </c>
      <c r="F24" s="58" t="inlineStr">
        <is>
          <t>editable</t>
        </is>
      </c>
      <c r="G24" s="58" t="inlineStr">
        <is>
          <t>editable</t>
        </is>
      </c>
      <c r="H24" s="58" t="inlineStr">
        <is>
          <t>editable</t>
        </is>
      </c>
      <c r="I24" s="58" t="inlineStr">
        <is>
          <t>formula</t>
        </is>
      </c>
      <c r="J24" s="58" t="inlineStr">
        <is>
          <t>formula</t>
        </is>
      </c>
    </row>
    <row r="25">
      <c r="A25" s="56" t="n">
        <v>1</v>
      </c>
      <c r="B25" s="59" t="inlineStr">
        <is>
          <t>Flat roof behind parapet, A-301</t>
        </is>
      </c>
      <c r="C25" s="60" t="n">
        <v>1</v>
      </c>
      <c r="D25" s="60" t="n">
        <v>0</v>
      </c>
      <c r="E25" s="60" t="n">
        <v>0</v>
      </c>
      <c r="F25" s="59" t="inlineStr">
        <is>
          <t>ROOF</t>
        </is>
      </c>
      <c r="G25" s="84" t="n">
        <v>297.29</v>
      </c>
      <c r="H25" s="84" t="n">
        <v>1</v>
      </c>
      <c r="I25" s="85">
        <f>(IF(G25&gt;0,C25*G25,C25*D25*E25))*H25</f>
        <v/>
      </c>
      <c r="J25" s="85">
        <f>IF($F25=J$23,I25,0)</f>
        <v/>
      </c>
    </row>
    <row r="26">
      <c r="A26" s="56" t="inlineStr">
        <is>
          <t>note: linked to the Backup sheet as m2 x 10.7639 = SF</t>
        </is>
      </c>
      <c r="I26" s="86">
        <f>SUM(I25:I25)</f>
        <v/>
      </c>
      <c r="J26" s="86">
        <f>SUM(J25:J25)</f>
        <v/>
      </c>
    </row>
    <row r="27"/>
    <row r="28"/>
    <row r="29">
      <c r="A29" s="21" t="inlineStr">
        <is>
          <t>R-30 polyisocyanurate roof insulation, two layers, staggered joints</t>
        </is>
      </c>
      <c r="G29" s="56" t="inlineStr">
        <is>
          <t>07 22 00 | roof insulation | A-401</t>
        </is>
      </c>
    </row>
    <row r="30">
      <c r="A30"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31">
      <c r="A31" s="57" t="inlineStr">
        <is>
          <t>#</t>
        </is>
      </c>
      <c r="B31" s="57" t="inlineStr">
        <is>
          <t>Room / Zone</t>
        </is>
      </c>
      <c r="C31" s="57" t="inlineStr">
        <is>
          <t>No.</t>
        </is>
      </c>
      <c r="D31" s="57" t="inlineStr">
        <is>
          <t>Length
(m)</t>
        </is>
      </c>
      <c r="E31" s="57" t="inlineStr">
        <is>
          <t>Width
(m)</t>
        </is>
      </c>
      <c r="F31" s="57" t="inlineStr">
        <is>
          <t>Finish code</t>
        </is>
      </c>
      <c r="G31" s="57" t="inlineStr">
        <is>
          <t>Area (measured directly)
(m2)</t>
        </is>
      </c>
      <c r="H31" s="57" t="inlineStr">
        <is>
          <t>Factor</t>
        </is>
      </c>
      <c r="I31" s="57" t="inlineStr">
        <is>
          <t>Area
(m2)</t>
        </is>
      </c>
      <c r="J31" s="57" t="inlineStr">
        <is>
          <t>ROOF-INSUL</t>
        </is>
      </c>
    </row>
    <row r="32">
      <c r="A32" s="56" t="inlineStr">
        <is>
          <t>edit →</t>
        </is>
      </c>
      <c r="B32" s="58" t="inlineStr">
        <is>
          <t>editable</t>
        </is>
      </c>
      <c r="C32" s="58" t="inlineStr">
        <is>
          <t>editable</t>
        </is>
      </c>
      <c r="D32" s="58" t="inlineStr">
        <is>
          <t>editable</t>
        </is>
      </c>
      <c r="E32" s="58" t="inlineStr">
        <is>
          <t>editable</t>
        </is>
      </c>
      <c r="F32" s="58" t="inlineStr">
        <is>
          <t>editable</t>
        </is>
      </c>
      <c r="G32" s="58" t="inlineStr">
        <is>
          <t>editable</t>
        </is>
      </c>
      <c r="H32" s="58" t="inlineStr">
        <is>
          <t>editable</t>
        </is>
      </c>
      <c r="I32" s="58" t="inlineStr">
        <is>
          <t>formula</t>
        </is>
      </c>
      <c r="J32" s="58" t="inlineStr">
        <is>
          <t>formula</t>
        </is>
      </c>
    </row>
    <row r="33">
      <c r="A33" s="56" t="n">
        <v>1</v>
      </c>
      <c r="B33" s="59" t="inlineStr">
        <is>
          <t>Roof area, A-401</t>
        </is>
      </c>
      <c r="C33" s="60" t="n">
        <v>1</v>
      </c>
      <c r="D33" s="60" t="n">
        <v>0</v>
      </c>
      <c r="E33" s="60" t="n">
        <v>0</v>
      </c>
      <c r="F33" s="59" t="inlineStr">
        <is>
          <t>ROOF-INSUL</t>
        </is>
      </c>
      <c r="G33" s="84" t="n">
        <v>297.29</v>
      </c>
      <c r="H33" s="84" t="n">
        <v>1</v>
      </c>
      <c r="I33" s="85">
        <f>(IF(G33&gt;0,C33*G33,C33*D33*E33))*H33</f>
        <v/>
      </c>
      <c r="J33" s="85">
        <f>IF($F33=J$31,I33,0)</f>
        <v/>
      </c>
    </row>
    <row r="34">
      <c r="A34" s="56" t="inlineStr">
        <is>
          <t>note: linked to the Backup sheet as m2 x 10.7639 = SF</t>
        </is>
      </c>
      <c r="I34" s="86">
        <f>SUM(I33:I33)</f>
        <v/>
      </c>
      <c r="J34" s="86">
        <f>SUM(J33:J33)</f>
        <v/>
      </c>
    </row>
    <row r="35"/>
    <row r="36"/>
    <row r="37">
      <c r="A37" s="21" t="inlineStr">
        <is>
          <t>R-13 rigid cavity insulation, continuous, in exterior wall</t>
        </is>
      </c>
      <c r="F37" s="56" t="inlineStr">
        <is>
          <t>07 21 00 | cavity insulation | A-401</t>
        </is>
      </c>
    </row>
    <row r="38">
      <c r="A38" s="56" t="inlineStr">
        <is>
          <t>Enter positive rows for wall runs and NEGATIVE count rows for door/window openings to deduct, exactly as a measurement sheet does — the deduction stays visible and auditable instead of being silently netted off.</t>
        </is>
      </c>
    </row>
    <row r="39">
      <c r="A39" s="57" t="inlineStr">
        <is>
          <t>#</t>
        </is>
      </c>
      <c r="B39" s="57" t="inlineStr">
        <is>
          <t>Wall run / Opening</t>
        </is>
      </c>
      <c r="C39" s="57" t="inlineStr">
        <is>
          <t>No. (use -1 to deduct)</t>
        </is>
      </c>
      <c r="D39" s="57" t="inlineStr">
        <is>
          <t>Length
(m)</t>
        </is>
      </c>
      <c r="E39" s="57" t="inlineStr">
        <is>
          <t>Height
(m)</t>
        </is>
      </c>
      <c r="F39" s="57" t="inlineStr">
        <is>
          <t>Wall type</t>
        </is>
      </c>
      <c r="G39" s="57" t="inlineStr">
        <is>
          <t>Factor</t>
        </is>
      </c>
      <c r="H39" s="57" t="inlineStr">
        <is>
          <t>Net area
(m2)</t>
        </is>
      </c>
      <c r="I39" s="57" t="inlineStr">
        <is>
          <t>Both faces
(m2)</t>
        </is>
      </c>
      <c r="J39" s="57" t="inlineStr">
        <is>
          <t>CAV</t>
        </is>
      </c>
    </row>
    <row r="40">
      <c r="A40" s="56" t="inlineStr">
        <is>
          <t>edit →</t>
        </is>
      </c>
      <c r="B40" s="58" t="inlineStr">
        <is>
          <t>editable</t>
        </is>
      </c>
      <c r="C40" s="58" t="inlineStr">
        <is>
          <t>editable</t>
        </is>
      </c>
      <c r="D40" s="58" t="inlineStr">
        <is>
          <t>editable</t>
        </is>
      </c>
      <c r="E40" s="58" t="inlineStr">
        <is>
          <t>editable</t>
        </is>
      </c>
      <c r="F40" s="58" t="inlineStr">
        <is>
          <t>editable</t>
        </is>
      </c>
      <c r="G40" s="58" t="inlineStr">
        <is>
          <t>editable</t>
        </is>
      </c>
      <c r="H40" s="58" t="inlineStr">
        <is>
          <t>formula</t>
        </is>
      </c>
      <c r="I40" s="58" t="inlineStr">
        <is>
          <t>formula</t>
        </is>
      </c>
      <c r="J40" s="58" t="inlineStr">
        <is>
          <t>formula</t>
        </is>
      </c>
    </row>
    <row r="41">
      <c r="A41" s="56" t="n">
        <v>1</v>
      </c>
      <c r="B41" s="59" t="inlineStr">
        <is>
          <t>Continuous cavity insulation, A-401</t>
        </is>
      </c>
      <c r="C41" s="60" t="n">
        <v>1</v>
      </c>
      <c r="D41" s="84" t="n">
        <v>73.152</v>
      </c>
      <c r="E41" s="84" t="n">
        <v>4.267</v>
      </c>
      <c r="F41" s="59" t="inlineStr">
        <is>
          <t>CAV</t>
        </is>
      </c>
      <c r="G41" s="84" t="n">
        <v>1</v>
      </c>
      <c r="H41" s="85">
        <f>(C41*D41*E41)*G41</f>
        <v/>
      </c>
      <c r="I41" s="85">
        <f>H41*2</f>
        <v/>
      </c>
      <c r="J41" s="85">
        <f>IF($F41=J$39,H41,0)</f>
        <v/>
      </c>
    </row>
    <row r="42">
      <c r="A42" s="56" t="n">
        <v>2</v>
      </c>
      <c r="B42" s="59" t="inlineStr">
        <is>
          <t>Less scheduled exterior openings, A-601</t>
        </is>
      </c>
      <c r="C42" s="60" t="n">
        <v>-1</v>
      </c>
      <c r="D42" s="84" t="n">
        <v>55.556</v>
      </c>
      <c r="E42" s="84" t="n">
        <v>1</v>
      </c>
      <c r="F42" s="59" t="inlineStr">
        <is>
          <t>CAV</t>
        </is>
      </c>
      <c r="G42" s="84" t="n">
        <v>1</v>
      </c>
      <c r="H42" s="85">
        <f>(C42*D42*E42)*G42</f>
        <v/>
      </c>
      <c r="I42" s="85">
        <f>H42*2</f>
        <v/>
      </c>
      <c r="J42" s="85">
        <f>IF($F42=J$39,H42,0)</f>
        <v/>
      </c>
    </row>
    <row r="43">
      <c r="A43" s="56" t="inlineStr">
        <is>
          <t>note: linked to the Backup sheet as m2 x 10.7639 = SF</t>
        </is>
      </c>
      <c r="H43" s="86">
        <f>SUM(H41:H42)</f>
        <v/>
      </c>
      <c r="I43" s="86">
        <f>SUM(I41:I42)</f>
        <v/>
      </c>
      <c r="J43" s="86">
        <f>SUM(J41:J42)</f>
        <v/>
      </c>
    </row>
    <row r="44"/>
    <row r="45"/>
    <row r="46">
      <c r="A46" s="21" t="inlineStr">
        <is>
          <t>Prefinished metal coping at parapet</t>
        </is>
      </c>
      <c r="F46" s="56" t="inlineStr">
        <is>
          <t>07 62 00 | sheet metal | A-201, A-401</t>
        </is>
      </c>
    </row>
    <row r="47">
      <c r="A47" s="56" t="inlineStr">
        <is>
          <t>Route length measured off the plan or riser. Vertical drops/risers entered as their own rows so the client can see and adjust them separately from horizontal runs. For an irregular shape, put the measured area/length in the 'measured directly' column and leave the dimension columns blank.</t>
        </is>
      </c>
    </row>
    <row r="48">
      <c r="A48" s="57" t="inlineStr">
        <is>
          <t>#</t>
        </is>
      </c>
      <c r="B48" s="57" t="inlineStr">
        <is>
          <t>Run / Segment</t>
        </is>
      </c>
      <c r="C48" s="57" t="inlineStr">
        <is>
          <t>No.</t>
        </is>
      </c>
      <c r="D48" s="57" t="inlineStr">
        <is>
          <t>Length each
(m)</t>
        </is>
      </c>
      <c r="E48" s="57" t="inlineStr">
        <is>
          <t>Size / Type</t>
        </is>
      </c>
      <c r="F48" s="57" t="inlineStr">
        <is>
          <t>Length (measured directly)
(m)</t>
        </is>
      </c>
      <c r="G48" s="57" t="inlineStr">
        <is>
          <t>Factor</t>
        </is>
      </c>
      <c r="H48" s="57" t="inlineStr">
        <is>
          <t>Length
(m)</t>
        </is>
      </c>
      <c r="I48" s="57" t="inlineStr">
        <is>
          <t>COPING</t>
        </is>
      </c>
    </row>
    <row r="49">
      <c r="A49" s="56" t="inlineStr">
        <is>
          <t>edit →</t>
        </is>
      </c>
      <c r="B49" s="58" t="inlineStr">
        <is>
          <t>editable</t>
        </is>
      </c>
      <c r="C49" s="58" t="inlineStr">
        <is>
          <t>editable</t>
        </is>
      </c>
      <c r="D49" s="58" t="inlineStr">
        <is>
          <t>editable</t>
        </is>
      </c>
      <c r="E49" s="58" t="inlineStr">
        <is>
          <t>editable</t>
        </is>
      </c>
      <c r="F49" s="58" t="inlineStr">
        <is>
          <t>editable</t>
        </is>
      </c>
      <c r="G49" s="58" t="inlineStr">
        <is>
          <t>editable</t>
        </is>
      </c>
      <c r="H49" s="58" t="inlineStr">
        <is>
          <t>formula</t>
        </is>
      </c>
      <c r="I49" s="58" t="inlineStr">
        <is>
          <t>formula</t>
        </is>
      </c>
    </row>
    <row r="50">
      <c r="A50" s="56" t="n">
        <v>1</v>
      </c>
      <c r="B50" s="59" t="inlineStr">
        <is>
          <t>Parapet coping, A-201</t>
        </is>
      </c>
      <c r="C50" s="60" t="n">
        <v>1</v>
      </c>
      <c r="D50" s="60" t="n">
        <v>0</v>
      </c>
      <c r="E50" s="59" t="inlineStr">
        <is>
          <t>COPING</t>
        </is>
      </c>
      <c r="F50" s="84" t="n">
        <v>73.152</v>
      </c>
      <c r="G50" s="84" t="n">
        <v>1</v>
      </c>
      <c r="H50" s="85">
        <f>(IF(F50&gt;0,C50*F50,C50*D50))*G50</f>
        <v/>
      </c>
      <c r="I50" s="85">
        <f>IF($E50=I$48,H50,0)</f>
        <v/>
      </c>
    </row>
    <row r="51">
      <c r="A51" s="56" t="inlineStr">
        <is>
          <t>note: linked to the Backup sheet as m x 3.28084 = LF</t>
        </is>
      </c>
      <c r="H51" s="86">
        <f>SUM(H50:H50)</f>
        <v/>
      </c>
      <c r="I51" s="86">
        <f>SUM(I50:I50)</f>
        <v/>
      </c>
    </row>
    <row r="52"/>
    <row r="53"/>
    <row r="54">
      <c r="A54" s="21" t="inlineStr">
        <is>
          <t>Aluminium storefront, pair, 6'-0 x 7'-0, insulated glazing (mark D1)</t>
        </is>
      </c>
      <c r="G54" s="56" t="inlineStr">
        <is>
          <t>08 11 00 | doors | A-601</t>
        </is>
      </c>
    </row>
    <row r="55">
      <c r="A55"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56">
      <c r="A56" s="57" t="inlineStr">
        <is>
          <t>#</t>
        </is>
      </c>
      <c r="B56" s="57" t="inlineStr">
        <is>
          <t>Type / Location</t>
        </is>
      </c>
      <c r="C56" s="57" t="inlineStr">
        <is>
          <t>Type mark</t>
        </is>
      </c>
      <c r="D56" s="57" t="inlineStr">
        <is>
          <t>Width
(m)</t>
        </is>
      </c>
      <c r="E56" s="57" t="inlineStr">
        <is>
          <t>Height
(m)</t>
        </is>
      </c>
      <c r="F56" s="57" t="inlineStr">
        <is>
          <t>Per unit</t>
        </is>
      </c>
      <c r="G56" s="57" t="inlineStr">
        <is>
          <t>No.</t>
        </is>
      </c>
      <c r="H56" s="57" t="inlineStr">
        <is>
          <t>Basis / Source</t>
        </is>
      </c>
      <c r="I56" s="57" t="inlineStr">
        <is>
          <t>Quantity
(ea)</t>
        </is>
      </c>
      <c r="J56" s="57" t="inlineStr">
        <is>
          <t>Leaf area
(m2)</t>
        </is>
      </c>
    </row>
    <row r="57">
      <c r="A57" s="56" t="inlineStr">
        <is>
          <t>edit →</t>
        </is>
      </c>
      <c r="B57" s="58" t="inlineStr">
        <is>
          <t>editable</t>
        </is>
      </c>
      <c r="C57" s="58" t="inlineStr">
        <is>
          <t>editable</t>
        </is>
      </c>
      <c r="D57" s="58" t="inlineStr">
        <is>
          <t>editable</t>
        </is>
      </c>
      <c r="E57" s="58" t="inlineStr">
        <is>
          <t>editable</t>
        </is>
      </c>
      <c r="F57" s="58" t="inlineStr">
        <is>
          <t>editable</t>
        </is>
      </c>
      <c r="G57" s="58" t="inlineStr">
        <is>
          <t>editable</t>
        </is>
      </c>
      <c r="H57" s="58" t="inlineStr">
        <is>
          <t>editable</t>
        </is>
      </c>
      <c r="I57" s="58" t="inlineStr">
        <is>
          <t>formula</t>
        </is>
      </c>
      <c r="J57" s="58" t="inlineStr">
        <is>
          <t>formula</t>
        </is>
      </c>
    </row>
    <row r="58">
      <c r="A58" s="56" t="n">
        <v>1</v>
      </c>
      <c r="B58" s="59" t="inlineStr">
        <is>
          <t>2 no. scheduled on A-601</t>
        </is>
      </c>
      <c r="C58" s="59" t="n"/>
      <c r="D58" s="60" t="n"/>
      <c r="E58" s="60" t="n"/>
      <c r="F58" s="60" t="n">
        <v>1</v>
      </c>
      <c r="G58" s="60" t="n">
        <v>2</v>
      </c>
      <c r="H58" s="59" t="n"/>
      <c r="I58" s="85">
        <f>G58*F58</f>
        <v/>
      </c>
      <c r="J58" s="85">
        <f>G58*D58*E58</f>
        <v/>
      </c>
    </row>
    <row r="59">
      <c r="A59" s="64" t="inlineStr">
        <is>
          <t>TOTAL</t>
        </is>
      </c>
      <c r="I59" s="86">
        <f>SUM(I58:I58)</f>
        <v/>
      </c>
      <c r="J59" s="86">
        <f>SUM(J58:J58)</f>
        <v/>
      </c>
    </row>
    <row r="60"/>
    <row r="61">
      <c r="A61" s="21" t="inlineStr">
        <is>
          <t>Hollow metal, single, 3'-0 x 7'-0, 90 min rated (mark D2)</t>
        </is>
      </c>
      <c r="G61" s="56" t="inlineStr">
        <is>
          <t>08 11 00 | doors | A-601</t>
        </is>
      </c>
    </row>
    <row r="62">
      <c r="A62"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63">
      <c r="A63" s="57" t="inlineStr">
        <is>
          <t>#</t>
        </is>
      </c>
      <c r="B63" s="57" t="inlineStr">
        <is>
          <t>Type / Location</t>
        </is>
      </c>
      <c r="C63" s="57" t="inlineStr">
        <is>
          <t>Type mark</t>
        </is>
      </c>
      <c r="D63" s="57" t="inlineStr">
        <is>
          <t>Width
(m)</t>
        </is>
      </c>
      <c r="E63" s="57" t="inlineStr">
        <is>
          <t>Height
(m)</t>
        </is>
      </c>
      <c r="F63" s="57" t="inlineStr">
        <is>
          <t>Per unit</t>
        </is>
      </c>
      <c r="G63" s="57" t="inlineStr">
        <is>
          <t>No.</t>
        </is>
      </c>
      <c r="H63" s="57" t="inlineStr">
        <is>
          <t>Basis / Source</t>
        </is>
      </c>
      <c r="I63" s="57" t="inlineStr">
        <is>
          <t>Quantity
(ea)</t>
        </is>
      </c>
      <c r="J63" s="57" t="inlineStr">
        <is>
          <t>Leaf area
(m2)</t>
        </is>
      </c>
    </row>
    <row r="64">
      <c r="A64" s="56" t="inlineStr">
        <is>
          <t>edit →</t>
        </is>
      </c>
      <c r="B64" s="58" t="inlineStr">
        <is>
          <t>editable</t>
        </is>
      </c>
      <c r="C64" s="58" t="inlineStr">
        <is>
          <t>editable</t>
        </is>
      </c>
      <c r="D64" s="58" t="inlineStr">
        <is>
          <t>editable</t>
        </is>
      </c>
      <c r="E64" s="58" t="inlineStr">
        <is>
          <t>editable</t>
        </is>
      </c>
      <c r="F64" s="58" t="inlineStr">
        <is>
          <t>editable</t>
        </is>
      </c>
      <c r="G64" s="58" t="inlineStr">
        <is>
          <t>editable</t>
        </is>
      </c>
      <c r="H64" s="58" t="inlineStr">
        <is>
          <t>editable</t>
        </is>
      </c>
      <c r="I64" s="58" t="inlineStr">
        <is>
          <t>formula</t>
        </is>
      </c>
      <c r="J64" s="58" t="inlineStr">
        <is>
          <t>formula</t>
        </is>
      </c>
    </row>
    <row r="65">
      <c r="A65" s="56" t="n">
        <v>1</v>
      </c>
      <c r="B65" s="59" t="inlineStr">
        <is>
          <t>4 no. scheduled on A-601</t>
        </is>
      </c>
      <c r="C65" s="59" t="n"/>
      <c r="D65" s="60" t="n"/>
      <c r="E65" s="60" t="n"/>
      <c r="F65" s="60" t="n">
        <v>1</v>
      </c>
      <c r="G65" s="60" t="n">
        <v>4</v>
      </c>
      <c r="H65" s="59" t="n"/>
      <c r="I65" s="85">
        <f>G65*F65</f>
        <v/>
      </c>
      <c r="J65" s="85">
        <f>G65*D65*E65</f>
        <v/>
      </c>
    </row>
    <row r="66">
      <c r="A66" s="64" t="inlineStr">
        <is>
          <t>TOTAL</t>
        </is>
      </c>
      <c r="I66" s="86">
        <f>SUM(I65:I65)</f>
        <v/>
      </c>
      <c r="J66" s="86">
        <f>SUM(J65:J65)</f>
        <v/>
      </c>
    </row>
    <row r="67"/>
    <row r="68">
      <c r="A68" s="21" t="inlineStr">
        <is>
          <t>Solid core wood in HM frame, 3'-0 x 7'-0 (mark D3)</t>
        </is>
      </c>
      <c r="G68" s="56" t="inlineStr">
        <is>
          <t>08 14 00 | doors | A-601</t>
        </is>
      </c>
    </row>
    <row r="69">
      <c r="A69"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70">
      <c r="A70" s="57" t="inlineStr">
        <is>
          <t>#</t>
        </is>
      </c>
      <c r="B70" s="57" t="inlineStr">
        <is>
          <t>Type / Location</t>
        </is>
      </c>
      <c r="C70" s="57" t="inlineStr">
        <is>
          <t>Type mark</t>
        </is>
      </c>
      <c r="D70" s="57" t="inlineStr">
        <is>
          <t>Width
(m)</t>
        </is>
      </c>
      <c r="E70" s="57" t="inlineStr">
        <is>
          <t>Height
(m)</t>
        </is>
      </c>
      <c r="F70" s="57" t="inlineStr">
        <is>
          <t>Per unit</t>
        </is>
      </c>
      <c r="G70" s="57" t="inlineStr">
        <is>
          <t>No.</t>
        </is>
      </c>
      <c r="H70" s="57" t="inlineStr">
        <is>
          <t>Basis / Source</t>
        </is>
      </c>
      <c r="I70" s="57" t="inlineStr">
        <is>
          <t>Quantity
(ea)</t>
        </is>
      </c>
      <c r="J70" s="57" t="inlineStr">
        <is>
          <t>Leaf area
(m2)</t>
        </is>
      </c>
    </row>
    <row r="71">
      <c r="A71" s="56" t="inlineStr">
        <is>
          <t>edit →</t>
        </is>
      </c>
      <c r="B71" s="58" t="inlineStr">
        <is>
          <t>editable</t>
        </is>
      </c>
      <c r="C71" s="58" t="inlineStr">
        <is>
          <t>editable</t>
        </is>
      </c>
      <c r="D71" s="58" t="inlineStr">
        <is>
          <t>editable</t>
        </is>
      </c>
      <c r="E71" s="58" t="inlineStr">
        <is>
          <t>editable</t>
        </is>
      </c>
      <c r="F71" s="58" t="inlineStr">
        <is>
          <t>editable</t>
        </is>
      </c>
      <c r="G71" s="58" t="inlineStr">
        <is>
          <t>editable</t>
        </is>
      </c>
      <c r="H71" s="58" t="inlineStr">
        <is>
          <t>editable</t>
        </is>
      </c>
      <c r="I71" s="58" t="inlineStr">
        <is>
          <t>formula</t>
        </is>
      </c>
      <c r="J71" s="58" t="inlineStr">
        <is>
          <t>formula</t>
        </is>
      </c>
    </row>
    <row r="72">
      <c r="A72" s="56" t="n">
        <v>1</v>
      </c>
      <c r="B72" s="59" t="inlineStr">
        <is>
          <t>5 no. scheduled on A-601</t>
        </is>
      </c>
      <c r="C72" s="59" t="n"/>
      <c r="D72" s="60" t="n"/>
      <c r="E72" s="60" t="n"/>
      <c r="F72" s="60" t="n">
        <v>1</v>
      </c>
      <c r="G72" s="60" t="n">
        <v>5</v>
      </c>
      <c r="H72" s="59" t="n"/>
      <c r="I72" s="85">
        <f>G72*F72</f>
        <v/>
      </c>
      <c r="J72" s="85">
        <f>G72*D72*E72</f>
        <v/>
      </c>
    </row>
    <row r="73">
      <c r="A73" s="64" t="inlineStr">
        <is>
          <t>TOTAL</t>
        </is>
      </c>
      <c r="I73" s="86">
        <f>SUM(I72:I72)</f>
        <v/>
      </c>
      <c r="J73" s="86">
        <f>SUM(J72:J72)</f>
        <v/>
      </c>
    </row>
    <row r="74"/>
    <row r="75">
      <c r="A75" s="21" t="inlineStr">
        <is>
          <t>Insulated sectional overhead, 10'-0 x 10'-0 (mark D4)</t>
        </is>
      </c>
      <c r="G75" s="56" t="inlineStr">
        <is>
          <t>08 14 00 | doors | A-601</t>
        </is>
      </c>
    </row>
    <row r="76">
      <c r="A76"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77">
      <c r="A77" s="57" t="inlineStr">
        <is>
          <t>#</t>
        </is>
      </c>
      <c r="B77" s="57" t="inlineStr">
        <is>
          <t>Type / Location</t>
        </is>
      </c>
      <c r="C77" s="57" t="inlineStr">
        <is>
          <t>Type mark</t>
        </is>
      </c>
      <c r="D77" s="57" t="inlineStr">
        <is>
          <t>Width
(m)</t>
        </is>
      </c>
      <c r="E77" s="57" t="inlineStr">
        <is>
          <t>Height
(m)</t>
        </is>
      </c>
      <c r="F77" s="57" t="inlineStr">
        <is>
          <t>Per unit</t>
        </is>
      </c>
      <c r="G77" s="57" t="inlineStr">
        <is>
          <t>No.</t>
        </is>
      </c>
      <c r="H77" s="57" t="inlineStr">
        <is>
          <t>Basis / Source</t>
        </is>
      </c>
      <c r="I77" s="57" t="inlineStr">
        <is>
          <t>Quantity
(ea)</t>
        </is>
      </c>
      <c r="J77" s="57" t="inlineStr">
        <is>
          <t>Leaf area
(m2)</t>
        </is>
      </c>
    </row>
    <row r="78">
      <c r="A78" s="56" t="inlineStr">
        <is>
          <t>edit →</t>
        </is>
      </c>
      <c r="B78" s="58" t="inlineStr">
        <is>
          <t>editable</t>
        </is>
      </c>
      <c r="C78" s="58" t="inlineStr">
        <is>
          <t>editable</t>
        </is>
      </c>
      <c r="D78" s="58" t="inlineStr">
        <is>
          <t>editable</t>
        </is>
      </c>
      <c r="E78" s="58" t="inlineStr">
        <is>
          <t>editable</t>
        </is>
      </c>
      <c r="F78" s="58" t="inlineStr">
        <is>
          <t>editable</t>
        </is>
      </c>
      <c r="G78" s="58" t="inlineStr">
        <is>
          <t>editable</t>
        </is>
      </c>
      <c r="H78" s="58" t="inlineStr">
        <is>
          <t>editable</t>
        </is>
      </c>
      <c r="I78" s="58" t="inlineStr">
        <is>
          <t>formula</t>
        </is>
      </c>
      <c r="J78" s="58" t="inlineStr">
        <is>
          <t>formula</t>
        </is>
      </c>
    </row>
    <row r="79">
      <c r="A79" s="56" t="n">
        <v>1</v>
      </c>
      <c r="B79" s="59" t="inlineStr">
        <is>
          <t>1 no. scheduled on A-601</t>
        </is>
      </c>
      <c r="C79" s="59" t="n"/>
      <c r="D79" s="60" t="n"/>
      <c r="E79" s="60" t="n"/>
      <c r="F79" s="60" t="n">
        <v>1</v>
      </c>
      <c r="G79" s="60" t="n">
        <v>1</v>
      </c>
      <c r="H79" s="59" t="n"/>
      <c r="I79" s="85">
        <f>G79*F79</f>
        <v/>
      </c>
      <c r="J79" s="85">
        <f>G79*D79*E79</f>
        <v/>
      </c>
    </row>
    <row r="80">
      <c r="A80" s="64" t="inlineStr">
        <is>
          <t>TOTAL</t>
        </is>
      </c>
      <c r="I80" s="86">
        <f>SUM(I79:I79)</f>
        <v/>
      </c>
      <c r="J80" s="86">
        <f>SUM(J79:J79)</f>
        <v/>
      </c>
    </row>
    <row r="81"/>
    <row r="82">
      <c r="A82" s="21" t="inlineStr">
        <is>
          <t>Aluminium fixed, thermally broken, 6'-0 x 5'-0 (mark W1)</t>
        </is>
      </c>
      <c r="G82" s="56" t="inlineStr">
        <is>
          <t>08 51 13 | windows | A-601</t>
        </is>
      </c>
    </row>
    <row r="83">
      <c r="A83"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84">
      <c r="A84" s="57" t="inlineStr">
        <is>
          <t>#</t>
        </is>
      </c>
      <c r="B84" s="57" t="inlineStr">
        <is>
          <t>Type / Location</t>
        </is>
      </c>
      <c r="C84" s="57" t="inlineStr">
        <is>
          <t>Type mark</t>
        </is>
      </c>
      <c r="D84" s="57" t="inlineStr">
        <is>
          <t>Width
(m)</t>
        </is>
      </c>
      <c r="E84" s="57" t="inlineStr">
        <is>
          <t>Height
(m)</t>
        </is>
      </c>
      <c r="F84" s="57" t="inlineStr">
        <is>
          <t>Per unit</t>
        </is>
      </c>
      <c r="G84" s="57" t="inlineStr">
        <is>
          <t>No.</t>
        </is>
      </c>
      <c r="H84" s="57" t="inlineStr">
        <is>
          <t>Basis / Source</t>
        </is>
      </c>
      <c r="I84" s="57" t="inlineStr">
        <is>
          <t>Quantity
(ea)</t>
        </is>
      </c>
      <c r="J84" s="57" t="inlineStr">
        <is>
          <t>Leaf area
(m2)</t>
        </is>
      </c>
    </row>
    <row r="85">
      <c r="A85" s="56" t="inlineStr">
        <is>
          <t>edit →</t>
        </is>
      </c>
      <c r="B85" s="58" t="inlineStr">
        <is>
          <t>editable</t>
        </is>
      </c>
      <c r="C85" s="58" t="inlineStr">
        <is>
          <t>editable</t>
        </is>
      </c>
      <c r="D85" s="58" t="inlineStr">
        <is>
          <t>editable</t>
        </is>
      </c>
      <c r="E85" s="58" t="inlineStr">
        <is>
          <t>editable</t>
        </is>
      </c>
      <c r="F85" s="58" t="inlineStr">
        <is>
          <t>editable</t>
        </is>
      </c>
      <c r="G85" s="58" t="inlineStr">
        <is>
          <t>editable</t>
        </is>
      </c>
      <c r="H85" s="58" t="inlineStr">
        <is>
          <t>editable</t>
        </is>
      </c>
      <c r="I85" s="58" t="inlineStr">
        <is>
          <t>formula</t>
        </is>
      </c>
      <c r="J85" s="58" t="inlineStr">
        <is>
          <t>formula</t>
        </is>
      </c>
    </row>
    <row r="86">
      <c r="A86" s="56" t="n">
        <v>1</v>
      </c>
      <c r="B86" s="59" t="inlineStr">
        <is>
          <t>10 no. scheduled on A-601</t>
        </is>
      </c>
      <c r="C86" s="59" t="n"/>
      <c r="D86" s="60" t="n"/>
      <c r="E86" s="60" t="n"/>
      <c r="F86" s="60" t="n">
        <v>1</v>
      </c>
      <c r="G86" s="60" t="n">
        <v>10</v>
      </c>
      <c r="H86" s="59" t="n"/>
      <c r="I86" s="85">
        <f>G86*F86</f>
        <v/>
      </c>
      <c r="J86" s="85">
        <f>G86*D86*E86</f>
        <v/>
      </c>
    </row>
    <row r="87">
      <c r="A87" s="64" t="inlineStr">
        <is>
          <t>TOTAL</t>
        </is>
      </c>
      <c r="I87" s="86">
        <f>SUM(I86:I86)</f>
        <v/>
      </c>
      <c r="J87" s="86">
        <f>SUM(J86:J86)</f>
        <v/>
      </c>
    </row>
    <row r="88"/>
    <row r="89">
      <c r="A89" s="21" t="inlineStr">
        <is>
          <t>Aluminium fixed, thermally broken, 3'-0 x 5'-0 (mark W2)</t>
        </is>
      </c>
      <c r="G89" s="56" t="inlineStr">
        <is>
          <t>08 51 13 | windows | A-601</t>
        </is>
      </c>
    </row>
    <row r="90">
      <c r="A90"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91">
      <c r="A91" s="57" t="inlineStr">
        <is>
          <t>#</t>
        </is>
      </c>
      <c r="B91" s="57" t="inlineStr">
        <is>
          <t>Type / Location</t>
        </is>
      </c>
      <c r="C91" s="57" t="inlineStr">
        <is>
          <t>Type mark</t>
        </is>
      </c>
      <c r="D91" s="57" t="inlineStr">
        <is>
          <t>Width
(m)</t>
        </is>
      </c>
      <c r="E91" s="57" t="inlineStr">
        <is>
          <t>Height
(m)</t>
        </is>
      </c>
      <c r="F91" s="57" t="inlineStr">
        <is>
          <t>Per unit</t>
        </is>
      </c>
      <c r="G91" s="57" t="inlineStr">
        <is>
          <t>No.</t>
        </is>
      </c>
      <c r="H91" s="57" t="inlineStr">
        <is>
          <t>Basis / Source</t>
        </is>
      </c>
      <c r="I91" s="57" t="inlineStr">
        <is>
          <t>Quantity
(ea)</t>
        </is>
      </c>
      <c r="J91" s="57" t="inlineStr">
        <is>
          <t>Leaf area
(m2)</t>
        </is>
      </c>
    </row>
    <row r="92">
      <c r="A92" s="56" t="inlineStr">
        <is>
          <t>edit →</t>
        </is>
      </c>
      <c r="B92" s="58" t="inlineStr">
        <is>
          <t>editable</t>
        </is>
      </c>
      <c r="C92" s="58" t="inlineStr">
        <is>
          <t>editable</t>
        </is>
      </c>
      <c r="D92" s="58" t="inlineStr">
        <is>
          <t>editable</t>
        </is>
      </c>
      <c r="E92" s="58" t="inlineStr">
        <is>
          <t>editable</t>
        </is>
      </c>
      <c r="F92" s="58" t="inlineStr">
        <is>
          <t>editable</t>
        </is>
      </c>
      <c r="G92" s="58" t="inlineStr">
        <is>
          <t>editable</t>
        </is>
      </c>
      <c r="H92" s="58" t="inlineStr">
        <is>
          <t>editable</t>
        </is>
      </c>
      <c r="I92" s="58" t="inlineStr">
        <is>
          <t>formula</t>
        </is>
      </c>
      <c r="J92" s="58" t="inlineStr">
        <is>
          <t>formula</t>
        </is>
      </c>
    </row>
    <row r="93">
      <c r="A93" s="56" t="n">
        <v>1</v>
      </c>
      <c r="B93" s="59" t="inlineStr">
        <is>
          <t>6 no. scheduled on A-601</t>
        </is>
      </c>
      <c r="C93" s="59" t="n"/>
      <c r="D93" s="60" t="n"/>
      <c r="E93" s="60" t="n"/>
      <c r="F93" s="60" t="n">
        <v>1</v>
      </c>
      <c r="G93" s="60" t="n">
        <v>6</v>
      </c>
      <c r="H93" s="59" t="n"/>
      <c r="I93" s="85">
        <f>G93*F93</f>
        <v/>
      </c>
      <c r="J93" s="85">
        <f>G93*D93*E93</f>
        <v/>
      </c>
    </row>
    <row r="94">
      <c r="A94" s="64" t="inlineStr">
        <is>
          <t>TOTAL</t>
        </is>
      </c>
      <c r="I94" s="86">
        <f>SUM(I93:I93)</f>
        <v/>
      </c>
      <c r="J94" s="86">
        <f>SUM(J93:J93)</f>
        <v/>
      </c>
    </row>
    <row r="95"/>
    <row r="96">
      <c r="A96" s="21" t="inlineStr">
        <is>
          <t>Aluminium awning, 3'-0 x 2'-0, obscure glazing (mark W3)</t>
        </is>
      </c>
      <c r="G96" s="56" t="inlineStr">
        <is>
          <t>08 51 13 | windows | A-601</t>
        </is>
      </c>
    </row>
    <row r="97">
      <c r="A97"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98">
      <c r="A98" s="57" t="inlineStr">
        <is>
          <t>#</t>
        </is>
      </c>
      <c r="B98" s="57" t="inlineStr">
        <is>
          <t>Type / Location</t>
        </is>
      </c>
      <c r="C98" s="57" t="inlineStr">
        <is>
          <t>Type mark</t>
        </is>
      </c>
      <c r="D98" s="57" t="inlineStr">
        <is>
          <t>Width
(m)</t>
        </is>
      </c>
      <c r="E98" s="57" t="inlineStr">
        <is>
          <t>Height
(m)</t>
        </is>
      </c>
      <c r="F98" s="57" t="inlineStr">
        <is>
          <t>Per unit</t>
        </is>
      </c>
      <c r="G98" s="57" t="inlineStr">
        <is>
          <t>No.</t>
        </is>
      </c>
      <c r="H98" s="57" t="inlineStr">
        <is>
          <t>Basis / Source</t>
        </is>
      </c>
      <c r="I98" s="57" t="inlineStr">
        <is>
          <t>Quantity
(ea)</t>
        </is>
      </c>
      <c r="J98" s="57" t="inlineStr">
        <is>
          <t>Leaf area
(m2)</t>
        </is>
      </c>
    </row>
    <row r="99">
      <c r="A99" s="56" t="inlineStr">
        <is>
          <t>edit →</t>
        </is>
      </c>
      <c r="B99" s="58" t="inlineStr">
        <is>
          <t>editable</t>
        </is>
      </c>
      <c r="C99" s="58" t="inlineStr">
        <is>
          <t>editable</t>
        </is>
      </c>
      <c r="D99" s="58" t="inlineStr">
        <is>
          <t>editable</t>
        </is>
      </c>
      <c r="E99" s="58" t="inlineStr">
        <is>
          <t>editable</t>
        </is>
      </c>
      <c r="F99" s="58" t="inlineStr">
        <is>
          <t>editable</t>
        </is>
      </c>
      <c r="G99" s="58" t="inlineStr">
        <is>
          <t>editable</t>
        </is>
      </c>
      <c r="H99" s="58" t="inlineStr">
        <is>
          <t>editable</t>
        </is>
      </c>
      <c r="I99" s="58" t="inlineStr">
        <is>
          <t>formula</t>
        </is>
      </c>
      <c r="J99" s="58" t="inlineStr">
        <is>
          <t>formula</t>
        </is>
      </c>
    </row>
    <row r="100">
      <c r="A100" s="56" t="n">
        <v>1</v>
      </c>
      <c r="B100" s="59" t="inlineStr">
        <is>
          <t>4 no. scheduled on A-601</t>
        </is>
      </c>
      <c r="C100" s="59" t="n"/>
      <c r="D100" s="60" t="n"/>
      <c r="E100" s="60" t="n"/>
      <c r="F100" s="60" t="n">
        <v>1</v>
      </c>
      <c r="G100" s="60" t="n">
        <v>4</v>
      </c>
      <c r="H100" s="59" t="n"/>
      <c r="I100" s="85">
        <f>G100*F100</f>
        <v/>
      </c>
      <c r="J100" s="85">
        <f>G100*D100*E100</f>
        <v/>
      </c>
    </row>
    <row r="101">
      <c r="A101" s="64" t="inlineStr">
        <is>
          <t>TOTAL</t>
        </is>
      </c>
      <c r="I101" s="86">
        <f>SUM(I100:I100)</f>
        <v/>
      </c>
      <c r="J101" s="86">
        <f>SUM(J100:J100)</f>
        <v/>
      </c>
    </row>
    <row r="102"/>
    <row r="103">
      <c r="A103" s="21" t="inlineStr">
        <is>
          <t>Door hardware, 4 distinct sets (HW-1 storefront, HW-2 rated, HW-3 passage, HW-4 overhead)</t>
        </is>
      </c>
      <c r="G103" s="56" t="inlineStr">
        <is>
          <t>08 71 00 | door hardware | A-601</t>
        </is>
      </c>
    </row>
    <row r="104">
      <c r="A104"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105">
      <c r="A105" s="57" t="inlineStr">
        <is>
          <t>#</t>
        </is>
      </c>
      <c r="B105" s="57" t="inlineStr">
        <is>
          <t>Type / Location</t>
        </is>
      </c>
      <c r="C105" s="57" t="inlineStr">
        <is>
          <t>Type mark</t>
        </is>
      </c>
      <c r="D105" s="57" t="inlineStr">
        <is>
          <t>Width
(m)</t>
        </is>
      </c>
      <c r="E105" s="57" t="inlineStr">
        <is>
          <t>Height
(m)</t>
        </is>
      </c>
      <c r="F105" s="57" t="inlineStr">
        <is>
          <t>Per unit</t>
        </is>
      </c>
      <c r="G105" s="57" t="inlineStr">
        <is>
          <t>No.</t>
        </is>
      </c>
      <c r="H105" s="57" t="inlineStr">
        <is>
          <t>Basis / Source</t>
        </is>
      </c>
      <c r="I105" s="57" t="inlineStr">
        <is>
          <t>Quantity
(ea)</t>
        </is>
      </c>
      <c r="J105" s="57" t="inlineStr">
        <is>
          <t>Leaf area
(m2)</t>
        </is>
      </c>
    </row>
    <row r="106">
      <c r="A106" s="56" t="inlineStr">
        <is>
          <t>edit →</t>
        </is>
      </c>
      <c r="B106" s="58" t="inlineStr">
        <is>
          <t>editable</t>
        </is>
      </c>
      <c r="C106" s="58" t="inlineStr">
        <is>
          <t>editable</t>
        </is>
      </c>
      <c r="D106" s="58" t="inlineStr">
        <is>
          <t>editable</t>
        </is>
      </c>
      <c r="E106" s="58" t="inlineStr">
        <is>
          <t>editable</t>
        </is>
      </c>
      <c r="F106" s="58" t="inlineStr">
        <is>
          <t>editable</t>
        </is>
      </c>
      <c r="G106" s="58" t="inlineStr">
        <is>
          <t>editable</t>
        </is>
      </c>
      <c r="H106" s="58" t="inlineStr">
        <is>
          <t>editable</t>
        </is>
      </c>
      <c r="I106" s="58" t="inlineStr">
        <is>
          <t>formula</t>
        </is>
      </c>
      <c r="J106" s="58" t="inlineStr">
        <is>
          <t>formula</t>
        </is>
      </c>
    </row>
    <row r="107">
      <c r="A107" s="56" t="n">
        <v>1</v>
      </c>
      <c r="B107" s="59" t="inlineStr">
        <is>
          <t>4 sets listed on A-601</t>
        </is>
      </c>
      <c r="C107" s="59" t="n"/>
      <c r="D107" s="60" t="n"/>
      <c r="E107" s="60" t="n"/>
      <c r="F107" s="60" t="n">
        <v>1</v>
      </c>
      <c r="G107" s="60" t="n">
        <v>4</v>
      </c>
      <c r="H107" s="59" t="n"/>
      <c r="I107" s="85">
        <f>G107*F107</f>
        <v/>
      </c>
      <c r="J107" s="85">
        <f>G107*D107*E107</f>
        <v/>
      </c>
    </row>
    <row r="108">
      <c r="A108" s="64" t="inlineStr">
        <is>
          <t>TOTAL</t>
        </is>
      </c>
      <c r="I108" s="86">
        <f>SUM(I107:I107)</f>
        <v/>
      </c>
      <c r="J108" s="86">
        <f>SUM(J107:J107)</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S11"/>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Electrical</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'Backup-Electrical'!B4</f>
        <v/>
      </c>
      <c r="C4" s="17">
        <f>'Backup-Electrical'!C4</f>
        <v/>
      </c>
      <c r="D4" s="24">
        <f>'Backup-Electrical'!D4</f>
        <v/>
      </c>
      <c r="E4" s="47" t="n"/>
      <c r="F4" s="47" t="n"/>
      <c r="G4" s="24">
        <f>IF(D4="","",D4*(N(E4)+N(F4)*PREVWAGE*DFACTOR))</f>
        <v/>
      </c>
      <c r="H4" s="17">
        <f>'Backup-Electrical'!F4</f>
        <v/>
      </c>
      <c r="I4" s="49">
        <f>MATLOSS</f>
        <v/>
      </c>
      <c r="J4" s="49">
        <f>MATMARKUP</f>
        <v/>
      </c>
      <c r="K4" s="49">
        <f>LABMARKUP</f>
        <v/>
      </c>
      <c r="L4" s="24">
        <f>IF(N(E4)=0,0,ROUND(E4*(1+J4),2))</f>
        <v/>
      </c>
      <c r="M4" s="24">
        <f>IF(N(F4)=0,0,ROUND(F4*PREVWAGE*DFACTOR*(1+K4),2))</f>
        <v/>
      </c>
      <c r="N4" s="24">
        <f>IF(D4="","",ROUND(D4*(1+N(I4))*(N(L4)+N(M4)),2))</f>
        <v/>
      </c>
      <c r="O4" s="24">
        <f>IF(D4="","",N(N4)-N(G4))</f>
        <v/>
      </c>
      <c r="P4" s="29" t="n">
        <v>90</v>
      </c>
      <c r="Q4" s="29" t="n">
        <v>505</v>
      </c>
      <c r="R4" s="50" t="inlineStr">
        <is>
          <t>THANCHOR-US-450</t>
        </is>
      </c>
      <c r="S4" s="18" t="n"/>
    </row>
    <row r="5">
      <c r="A5" s="17" t="n">
        <v>2</v>
      </c>
      <c r="B5" s="18">
        <f>'Backup-Electrical'!B5</f>
        <v/>
      </c>
      <c r="C5" s="17">
        <f>'Backup-Electrical'!C5</f>
        <v/>
      </c>
      <c r="D5" s="24">
        <f>'Backup-Electrical'!D5</f>
        <v/>
      </c>
      <c r="E5" s="47" t="n"/>
      <c r="F5" s="47" t="n"/>
      <c r="G5" s="24">
        <f>IF(D5="","",D5*(N(E5)+N(F5)*PREVWAGE*DFACTOR))</f>
        <v/>
      </c>
      <c r="H5" s="17">
        <f>'Backup-Electrical'!F5</f>
        <v/>
      </c>
      <c r="I5" s="49">
        <f>MATLOSS</f>
        <v/>
      </c>
      <c r="J5" s="49">
        <f>MATMARKUP</f>
        <v/>
      </c>
      <c r="K5" s="49">
        <f>LABMARKUP</f>
        <v/>
      </c>
      <c r="L5" s="24">
        <f>IF(N(E5)=0,0,ROUND(E5*(1+J5),2))</f>
        <v/>
      </c>
      <c r="M5" s="24">
        <f>IF(N(F5)=0,0,ROUND(F5*PREVWAGE*DFACTOR*(1+K5),2))</f>
        <v/>
      </c>
      <c r="N5" s="24">
        <f>IF(D5="","",ROUND(D5*(1+N(I5))*(N(L5)+N(M5)),2))</f>
        <v/>
      </c>
      <c r="O5" s="24">
        <f>IF(D5="","",N(N5)-N(G5))</f>
        <v/>
      </c>
      <c r="P5" s="29" t="n">
        <v>69</v>
      </c>
      <c r="Q5" s="29" t="n">
        <v>580</v>
      </c>
      <c r="R5" s="50" t="inlineStr">
        <is>
          <t>THANCHOR-US-454</t>
        </is>
      </c>
      <c r="S5" s="18" t="n"/>
    </row>
    <row r="6">
      <c r="A6" s="17" t="n">
        <v>3</v>
      </c>
      <c r="B6" s="18">
        <f>'Backup-Electrical'!B6</f>
        <v/>
      </c>
      <c r="C6" s="17">
        <f>'Backup-Electrical'!C6</f>
        <v/>
      </c>
      <c r="D6" s="24">
        <f>'Backup-Electrical'!D6</f>
        <v/>
      </c>
      <c r="E6" s="47" t="n"/>
      <c r="F6" s="47" t="n"/>
      <c r="G6" s="24">
        <f>IF(D6="","",D6*(N(E6)+N(F6)*PREVWAGE*DFACTOR))</f>
        <v/>
      </c>
      <c r="H6" s="17">
        <f>'Backup-Electrical'!F6</f>
        <v/>
      </c>
      <c r="I6" s="49">
        <f>MATLOSS</f>
        <v/>
      </c>
      <c r="J6" s="49">
        <f>MATMARKUP</f>
        <v/>
      </c>
      <c r="K6" s="49">
        <f>LABMARKUP</f>
        <v/>
      </c>
      <c r="L6" s="24">
        <f>IF(N(E6)=0,0,ROUND(E6*(1+J6),2))</f>
        <v/>
      </c>
      <c r="M6" s="24">
        <f>IF(N(F6)=0,0,ROUND(F6*PREVWAGE*DFACTOR*(1+K6),2))</f>
        <v/>
      </c>
      <c r="N6" s="24">
        <f>IF(D6="","",ROUND(D6*(1+N(I6))*(N(L6)+N(M6)),2))</f>
        <v/>
      </c>
      <c r="O6" s="24">
        <f>IF(D6="","",N(N6)-N(G6))</f>
        <v/>
      </c>
      <c r="P6" s="29" t="n">
        <v>830</v>
      </c>
      <c r="Q6" s="29" t="n">
        <v>2830</v>
      </c>
      <c r="R6" s="50" t="inlineStr">
        <is>
          <t>THANCHOR-US-416</t>
        </is>
      </c>
      <c r="S6" s="18" t="n"/>
    </row>
    <row r="7">
      <c r="A7" s="17" t="n">
        <v>4</v>
      </c>
      <c r="B7" s="18">
        <f>'Backup-Electrical'!B7</f>
        <v/>
      </c>
      <c r="C7" s="17">
        <f>'Backup-Electrical'!C7</f>
        <v/>
      </c>
      <c r="D7" s="24">
        <f>'Backup-Electrical'!D7</f>
        <v/>
      </c>
      <c r="E7" s="47" t="n"/>
      <c r="F7" s="47" t="n"/>
      <c r="G7" s="24">
        <f>IF(D7="","",D7*(N(E7)+N(F7)*PREVWAGE*DFACTOR))</f>
        <v/>
      </c>
      <c r="H7" s="17">
        <f>'Backup-Electrical'!F7</f>
        <v/>
      </c>
      <c r="I7" s="49">
        <f>MATLOSS</f>
        <v/>
      </c>
      <c r="J7" s="49">
        <f>MATMARKUP</f>
        <v/>
      </c>
      <c r="K7" s="49">
        <f>LABMARKUP</f>
        <v/>
      </c>
      <c r="L7" s="24">
        <f>IF(N(E7)=0,0,ROUND(E7*(1+J7),2))</f>
        <v/>
      </c>
      <c r="M7" s="24">
        <f>IF(N(F7)=0,0,ROUND(F7*PREVWAGE*DFACTOR*(1+K7),2))</f>
        <v/>
      </c>
      <c r="N7" s="24">
        <f>IF(D7="","",ROUND(D7*(1+N(I7))*(N(L7)+N(M7)),2))</f>
        <v/>
      </c>
      <c r="O7" s="24">
        <f>IF(D7="","",N(N7)-N(G7))</f>
        <v/>
      </c>
      <c r="P7" s="29" t="n">
        <v>3.5</v>
      </c>
      <c r="Q7" s="29" t="n">
        <v>12</v>
      </c>
      <c r="R7" s="50" t="inlineStr">
        <is>
          <t>THANCHOR-US-504</t>
        </is>
      </c>
      <c r="S7" s="18" t="n"/>
    </row>
    <row r="8">
      <c r="A8" s="17" t="n">
        <v>5</v>
      </c>
      <c r="B8" s="18">
        <f>'Backup-Electrical'!B8</f>
        <v/>
      </c>
      <c r="C8" s="17">
        <f>'Backup-Electrical'!C8</f>
        <v/>
      </c>
      <c r="D8" s="24">
        <f>'Backup-Electrical'!D8</f>
        <v/>
      </c>
      <c r="E8" s="44" t="n"/>
      <c r="F8" s="44" t="n"/>
      <c r="G8" s="24">
        <f>IF(D8="","",D8*(N(E8)+N(F8)*PREVWAGE*DFACTOR))</f>
        <v/>
      </c>
      <c r="H8" s="17">
        <f>'Backup-Electrical'!F8</f>
        <v/>
      </c>
      <c r="I8" s="49">
        <f>MATLOSS</f>
        <v/>
      </c>
      <c r="J8" s="49">
        <f>MATMARKUP</f>
        <v/>
      </c>
      <c r="K8" s="49">
        <f>LABMARKUP</f>
        <v/>
      </c>
      <c r="L8" s="24">
        <f>IF(N(E8)=0,0,ROUND(E8*(1+J8),2))</f>
        <v/>
      </c>
      <c r="M8" s="24">
        <f>IF(N(F8)=0,0,ROUND(F8*PREVWAGE*DFACTOR*(1+K8),2))</f>
        <v/>
      </c>
      <c r="N8" s="24">
        <f>IF(D8="","",ROUND(D8*(1+N(I8))*(N(L8)+N(M8)),2))</f>
        <v/>
      </c>
      <c r="O8" s="24">
        <f>IF(D8="","",N(N8)-N(G8))</f>
        <v/>
      </c>
      <c r="P8" s="24" t="n"/>
      <c r="Q8" s="24" t="n"/>
      <c r="R8" s="17" t="n"/>
      <c r="S8" s="18" t="n"/>
    </row>
    <row r="9">
      <c r="A9" s="17" t="n">
        <v>6</v>
      </c>
      <c r="B9" s="18">
        <f>'Backup-Electrical'!B9</f>
        <v/>
      </c>
      <c r="C9" s="17">
        <f>'Backup-Electrical'!C9</f>
        <v/>
      </c>
      <c r="D9" s="24">
        <f>'Backup-Electrical'!D9</f>
        <v/>
      </c>
      <c r="E9" s="47" t="n"/>
      <c r="F9" s="47" t="n"/>
      <c r="G9" s="24">
        <f>IF(D9="","",D9*(N(E9)+N(F9)*PREVWAGE*DFACTOR))</f>
        <v/>
      </c>
      <c r="H9" s="17">
        <f>'Backup-Electrical'!F9</f>
        <v/>
      </c>
      <c r="I9" s="49">
        <f>MATLOSS</f>
        <v/>
      </c>
      <c r="J9" s="49">
        <f>MATMARKUP</f>
        <v/>
      </c>
      <c r="K9" s="49">
        <f>LABMARKUP</f>
        <v/>
      </c>
      <c r="L9" s="24">
        <f>IF(N(E9)=0,0,ROUND(E9*(1+J9),2))</f>
        <v/>
      </c>
      <c r="M9" s="24">
        <f>IF(N(F9)=0,0,ROUND(F9*PREVWAGE*DFACTOR*(1+K9),2))</f>
        <v/>
      </c>
      <c r="N9" s="24">
        <f>IF(D9="","",ROUND(D9*(1+N(I9))*(N(L9)+N(M9)),2))</f>
        <v/>
      </c>
      <c r="O9" s="24">
        <f>IF(D9="","",N(N9)-N(G9))</f>
        <v/>
      </c>
      <c r="P9" s="29" t="n">
        <v>45</v>
      </c>
      <c r="Q9" s="29" t="n">
        <v>90</v>
      </c>
      <c r="R9" s="50" t="inlineStr">
        <is>
          <t>THANCHOR-US-521</t>
        </is>
      </c>
      <c r="S9" s="18" t="n"/>
    </row>
    <row r="10">
      <c r="A10" s="17" t="n">
        <v>7</v>
      </c>
      <c r="B10" s="18">
        <f>'Backup-Electrical'!B10</f>
        <v/>
      </c>
      <c r="C10" s="17">
        <f>'Backup-Electrical'!C10</f>
        <v/>
      </c>
      <c r="D10" s="24">
        <f>'Backup-Electrical'!D10</f>
        <v/>
      </c>
      <c r="E10" s="47" t="n"/>
      <c r="F10" s="47" t="n"/>
      <c r="G10" s="24">
        <f>IF(D10="","",D10*(N(E10)+N(F10)*PREVWAGE*DFACTOR))</f>
        <v/>
      </c>
      <c r="H10" s="17">
        <f>'Backup-Electrical'!F10</f>
        <v/>
      </c>
      <c r="I10" s="49">
        <f>MATLOSS</f>
        <v/>
      </c>
      <c r="J10" s="49">
        <f>MATMARKUP</f>
        <v/>
      </c>
      <c r="K10" s="49">
        <f>LABMARKUP</f>
        <v/>
      </c>
      <c r="L10" s="24">
        <f>IF(N(E10)=0,0,ROUND(E10*(1+J10),2))</f>
        <v/>
      </c>
      <c r="M10" s="24">
        <f>IF(N(F10)=0,0,ROUND(F10*PREVWAGE*DFACTOR*(1+K10),2))</f>
        <v/>
      </c>
      <c r="N10" s="24">
        <f>IF(D10="","",ROUND(D10*(1+N(I10))*(N(L10)+N(M10)),2))</f>
        <v/>
      </c>
      <c r="O10" s="24">
        <f>IF(D10="","",N(N10)-N(G10))</f>
        <v/>
      </c>
      <c r="P10" s="29" t="n">
        <v>924</v>
      </c>
      <c r="Q10" s="29" t="n">
        <v>1119</v>
      </c>
      <c r="R10" s="50" t="inlineStr">
        <is>
          <t>THANCHOR-US-1654</t>
        </is>
      </c>
      <c r="S10" s="18" t="n"/>
    </row>
    <row r="11">
      <c r="B11" s="25" t="inlineStr">
        <is>
          <t>Electrical — Direct Subtotal</t>
        </is>
      </c>
      <c r="G11" s="48">
        <f>SUM(G4:G10)</f>
        <v/>
      </c>
      <c r="N11" s="48">
        <f>SUM(N4:N10)</f>
        <v/>
      </c>
      <c r="O11" s="48">
        <f>SUM(O4:O10)</f>
        <v/>
      </c>
      <c r="P11" s="54">
        <f>SUMPRODUCT(D4:D10,P4:P10)</f>
        <v/>
      </c>
      <c r="Q11" s="54">
        <f>SUMPRODUCT(D4:D10,Q4:Q10)</f>
        <v/>
      </c>
      <c r="R11"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2.xml><?xml version="1.0" encoding="utf-8"?>
<worksheet xmlns="http://schemas.openxmlformats.org/spreadsheetml/2006/main">
  <sheetPr>
    <outlinePr summaryBelow="1" summaryRight="1"/>
    <pageSetUpPr fitToPage="1"/>
  </sheetPr>
  <dimension ref="A1:I10"/>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Electrical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2x4 LED troffer, 40W, 4000K (mark L1)</t>
        </is>
      </c>
      <c r="C4" s="17" t="inlineStr">
        <is>
          <t>EA</t>
        </is>
      </c>
      <c r="D4" s="24">
        <f>'Calc-Electrical'!I9</f>
        <v/>
      </c>
      <c r="E4" s="17" t="inlineStr">
        <is>
          <t>E-101</t>
        </is>
      </c>
      <c r="F4" s="17" t="n">
        <v>1</v>
      </c>
      <c r="G4" s="18" t="inlineStr">
        <is>
          <t>Straight off the E-101 schedule.</t>
        </is>
      </c>
      <c r="H4" s="18" t="inlineStr">
        <is>
          <t>None</t>
        </is>
      </c>
      <c r="I4" s="18" t="inlineStr">
        <is>
          <t>26 51 00</t>
        </is>
      </c>
    </row>
    <row r="5">
      <c r="A5" s="17" t="n">
        <v>2</v>
      </c>
      <c r="B5" s="18" t="inlineStr">
        <is>
          <t>LED downlight, 12W (mark L2)</t>
        </is>
      </c>
      <c r="C5" s="17" t="inlineStr">
        <is>
          <t>EA</t>
        </is>
      </c>
      <c r="D5" s="24">
        <f>'Calc-Electrical'!I16</f>
        <v/>
      </c>
      <c r="E5" s="17" t="inlineStr">
        <is>
          <t>E-101</t>
        </is>
      </c>
      <c r="F5" s="17" t="n">
        <v>1</v>
      </c>
      <c r="G5" s="18" t="inlineStr">
        <is>
          <t>Straight off the E-101 schedule.</t>
        </is>
      </c>
      <c r="H5" s="18" t="inlineStr">
        <is>
          <t>None</t>
        </is>
      </c>
      <c r="I5" s="18" t="inlineStr">
        <is>
          <t>26 51 00</t>
        </is>
      </c>
    </row>
    <row r="6">
      <c r="A6" s="17" t="n">
        <v>3</v>
      </c>
      <c r="B6" s="18" t="inlineStr">
        <is>
          <t>Exterior wall pack, 25W (mark L3)</t>
        </is>
      </c>
      <c r="C6" s="17" t="inlineStr">
        <is>
          <t>EA</t>
        </is>
      </c>
      <c r="D6" s="24">
        <f>'Calc-Electrical'!I23</f>
        <v/>
      </c>
      <c r="E6" s="17" t="inlineStr">
        <is>
          <t>E-101</t>
        </is>
      </c>
      <c r="F6" s="17" t="n">
        <v>1</v>
      </c>
      <c r="G6" s="18" t="inlineStr">
        <is>
          <t>Straight off the E-101 schedule.</t>
        </is>
      </c>
      <c r="H6" s="18" t="inlineStr">
        <is>
          <t>None</t>
        </is>
      </c>
      <c r="I6" s="18" t="inlineStr">
        <is>
          <t>26 51 00</t>
        </is>
      </c>
    </row>
    <row r="7">
      <c r="A7" s="17" t="n">
        <v>4</v>
      </c>
      <c r="B7" s="18" t="inlineStr">
        <is>
          <t>Duplex receptacle, 20A (mark R1)</t>
        </is>
      </c>
      <c r="C7" s="17" t="inlineStr">
        <is>
          <t>EA</t>
        </is>
      </c>
      <c r="D7" s="24">
        <f>'Calc-Electrical'!I30</f>
        <v/>
      </c>
      <c r="E7" s="17" t="inlineStr">
        <is>
          <t>E-101</t>
        </is>
      </c>
      <c r="F7" s="17" t="n">
        <v>1</v>
      </c>
      <c r="G7" s="18" t="inlineStr">
        <is>
          <t>Straight off the E-101 schedule.</t>
        </is>
      </c>
      <c r="H7" s="18" t="inlineStr">
        <is>
          <t>None</t>
        </is>
      </c>
      <c r="I7" s="18" t="inlineStr">
        <is>
          <t>26 27 26</t>
        </is>
      </c>
    </row>
    <row r="8">
      <c r="A8" s="17" t="n">
        <v>5</v>
      </c>
      <c r="B8" s="18" t="inlineStr">
        <is>
          <t>Emergency light with battery (mark EM)</t>
        </is>
      </c>
      <c r="C8" s="17" t="inlineStr">
        <is>
          <t>EA</t>
        </is>
      </c>
      <c r="D8" s="24">
        <f>'Calc-Electrical'!I37</f>
        <v/>
      </c>
      <c r="E8" s="17" t="inlineStr">
        <is>
          <t>E-101</t>
        </is>
      </c>
      <c r="F8" s="17" t="n">
        <v>1</v>
      </c>
      <c r="G8" s="18" t="inlineStr">
        <is>
          <t>Straight off the E-101 schedule.</t>
        </is>
      </c>
      <c r="H8" s="18" t="inlineStr">
        <is>
          <t>None</t>
        </is>
      </c>
      <c r="I8" s="18" t="inlineStr">
        <is>
          <t>26 27 26</t>
        </is>
      </c>
    </row>
    <row r="9">
      <c r="A9" s="17" t="n">
        <v>6</v>
      </c>
      <c r="B9" s="18" t="inlineStr">
        <is>
          <t>Exit sign, LED (mark EX)</t>
        </is>
      </c>
      <c r="C9" s="17" t="inlineStr">
        <is>
          <t>EA</t>
        </is>
      </c>
      <c r="D9" s="24">
        <f>'Calc-Electrical'!I44</f>
        <v/>
      </c>
      <c r="E9" s="17" t="inlineStr">
        <is>
          <t>E-101</t>
        </is>
      </c>
      <c r="F9" s="17" t="n">
        <v>1</v>
      </c>
      <c r="G9" s="18" t="inlineStr">
        <is>
          <t>Straight off the E-101 schedule.</t>
        </is>
      </c>
      <c r="H9" s="18" t="inlineStr">
        <is>
          <t>None</t>
        </is>
      </c>
      <c r="I9" s="18" t="inlineStr">
        <is>
          <t>26 27 26</t>
        </is>
      </c>
    </row>
    <row r="10">
      <c r="A10" s="17" t="n">
        <v>7</v>
      </c>
      <c r="B10" s="18" t="inlineStr">
        <is>
          <t>Panelboard, 208Y/120V, 42 circuit, surface mounted</t>
        </is>
      </c>
      <c r="C10" s="17" t="inlineStr">
        <is>
          <t>EA</t>
        </is>
      </c>
      <c r="D10" s="24">
        <f>'Calc-Electrical'!I51</f>
        <v/>
      </c>
      <c r="E10" s="17" t="inlineStr">
        <is>
          <t>E-101</t>
        </is>
      </c>
      <c r="F10" s="17" t="n">
        <v>1</v>
      </c>
      <c r="G10" s="18" t="inlineStr">
        <is>
          <t>Service is stated as 200A three phase on E-101.</t>
        </is>
      </c>
      <c r="H10" s="18" t="inlineStr">
        <is>
          <t>None</t>
        </is>
      </c>
      <c r="I10" s="18" t="inlineStr">
        <is>
          <t>26 24 16</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3.xml><?xml version="1.0" encoding="utf-8"?>
<worksheet xmlns="http://schemas.openxmlformats.org/spreadsheetml/2006/main">
  <sheetPr>
    <tabColor rgb="001F4E5F"/>
    <outlinePr summaryBelow="1" summaryRight="1"/>
    <pageSetUpPr fitToPage="1"/>
  </sheetPr>
  <dimension ref="A1:J51"/>
  <sheetViews>
    <sheetView showGridLines="0" workbookViewId="0">
      <pane ySplit="3" topLeftCell="A4" activePane="bottomLeft" state="frozen"/>
      <selection pane="bottomLeft" activeCell="A1" sqref="A1"/>
    </sheetView>
  </sheetViews>
  <sheetFormatPr baseColWidth="8" defaultRowHeight="15"/>
  <cols>
    <col width="32" customWidth="1" min="2" max="2"/>
    <col width="12" customWidth="1" min="3" max="3"/>
    <col width="9" customWidth="1" min="4" max="4"/>
    <col width="9" customWidth="1" min="5" max="5"/>
    <col width="10" customWidth="1" min="6" max="6"/>
    <col width="8" customWidth="1" min="7" max="7"/>
    <col width="34" customWidth="1" min="8" max="8"/>
    <col width="12" customWidth="1" min="9" max="9"/>
    <col width="12" customWidth="1" min="10" max="10"/>
  </cols>
  <sheetData>
    <row r="1">
      <c r="A1" s="55" t="inlineStr">
        <is>
          <t>Calculation sheet — Electrical</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2x4 LED troffer, 40W, 4000K (mark L1)</t>
        </is>
      </c>
      <c r="G4" s="56" t="inlineStr">
        <is>
          <t>26 51 00 | electrical | E-101</t>
        </is>
      </c>
    </row>
    <row r="5">
      <c r="A5"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6">
      <c r="A6" s="57" t="inlineStr">
        <is>
          <t>#</t>
        </is>
      </c>
      <c r="B6" s="57" t="inlineStr">
        <is>
          <t>Type / Location</t>
        </is>
      </c>
      <c r="C6" s="57" t="inlineStr">
        <is>
          <t>Type mark</t>
        </is>
      </c>
      <c r="D6" s="57" t="inlineStr">
        <is>
          <t>Width
(m)</t>
        </is>
      </c>
      <c r="E6" s="57" t="inlineStr">
        <is>
          <t>Height
(m)</t>
        </is>
      </c>
      <c r="F6" s="57" t="inlineStr">
        <is>
          <t>Per unit</t>
        </is>
      </c>
      <c r="G6" s="57" t="inlineStr">
        <is>
          <t>No.</t>
        </is>
      </c>
      <c r="H6" s="57" t="inlineStr">
        <is>
          <t>Basis / Source</t>
        </is>
      </c>
      <c r="I6" s="57" t="inlineStr">
        <is>
          <t>Quantity
(ea)</t>
        </is>
      </c>
      <c r="J6" s="57" t="inlineStr">
        <is>
          <t>Leaf area
(m2)</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editable</t>
        </is>
      </c>
      <c r="I7" s="58" t="inlineStr">
        <is>
          <t>formula</t>
        </is>
      </c>
      <c r="J7" s="58" t="inlineStr">
        <is>
          <t>formula</t>
        </is>
      </c>
    </row>
    <row r="8">
      <c r="A8" s="56" t="n">
        <v>1</v>
      </c>
      <c r="B8" s="59" t="inlineStr">
        <is>
          <t>34 no. scheduled on E-101</t>
        </is>
      </c>
      <c r="C8" s="59" t="n"/>
      <c r="D8" s="60" t="n"/>
      <c r="E8" s="60" t="n"/>
      <c r="F8" s="60" t="n">
        <v>1</v>
      </c>
      <c r="G8" s="60" t="n">
        <v>34</v>
      </c>
      <c r="H8" s="59" t="n"/>
      <c r="I8" s="85">
        <f>G8*F8</f>
        <v/>
      </c>
      <c r="J8" s="85">
        <f>G8*D8*E8</f>
        <v/>
      </c>
    </row>
    <row r="9">
      <c r="A9" s="64" t="inlineStr">
        <is>
          <t>TOTAL</t>
        </is>
      </c>
      <c r="I9" s="86">
        <f>SUM(I8:I8)</f>
        <v/>
      </c>
      <c r="J9" s="86">
        <f>SUM(J8:J8)</f>
        <v/>
      </c>
    </row>
    <row r="10"/>
    <row r="11">
      <c r="A11" s="21" t="inlineStr">
        <is>
          <t>LED downlight, 12W (mark L2)</t>
        </is>
      </c>
      <c r="G11" s="56" t="inlineStr">
        <is>
          <t>26 51 00 | electrical | E-101</t>
        </is>
      </c>
    </row>
    <row r="12">
      <c r="A12"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13">
      <c r="A13" s="57" t="inlineStr">
        <is>
          <t>#</t>
        </is>
      </c>
      <c r="B13" s="57" t="inlineStr">
        <is>
          <t>Type / Location</t>
        </is>
      </c>
      <c r="C13" s="57" t="inlineStr">
        <is>
          <t>Type mark</t>
        </is>
      </c>
      <c r="D13" s="57" t="inlineStr">
        <is>
          <t>Width
(m)</t>
        </is>
      </c>
      <c r="E13" s="57" t="inlineStr">
        <is>
          <t>Height
(m)</t>
        </is>
      </c>
      <c r="F13" s="57" t="inlineStr">
        <is>
          <t>Per unit</t>
        </is>
      </c>
      <c r="G13" s="57" t="inlineStr">
        <is>
          <t>No.</t>
        </is>
      </c>
      <c r="H13" s="57" t="inlineStr">
        <is>
          <t>Basis / Source</t>
        </is>
      </c>
      <c r="I13" s="57" t="inlineStr">
        <is>
          <t>Quantity
(ea)</t>
        </is>
      </c>
      <c r="J13" s="57" t="inlineStr">
        <is>
          <t>Leaf area
(m2)</t>
        </is>
      </c>
    </row>
    <row r="14">
      <c r="A14" s="56" t="inlineStr">
        <is>
          <t>edit →</t>
        </is>
      </c>
      <c r="B14" s="58" t="inlineStr">
        <is>
          <t>editable</t>
        </is>
      </c>
      <c r="C14" s="58" t="inlineStr">
        <is>
          <t>editable</t>
        </is>
      </c>
      <c r="D14" s="58" t="inlineStr">
        <is>
          <t>editable</t>
        </is>
      </c>
      <c r="E14" s="58" t="inlineStr">
        <is>
          <t>editable</t>
        </is>
      </c>
      <c r="F14" s="58" t="inlineStr">
        <is>
          <t>editable</t>
        </is>
      </c>
      <c r="G14" s="58" t="inlineStr">
        <is>
          <t>editable</t>
        </is>
      </c>
      <c r="H14" s="58" t="inlineStr">
        <is>
          <t>editable</t>
        </is>
      </c>
      <c r="I14" s="58" t="inlineStr">
        <is>
          <t>formula</t>
        </is>
      </c>
      <c r="J14" s="58" t="inlineStr">
        <is>
          <t>formula</t>
        </is>
      </c>
    </row>
    <row r="15">
      <c r="A15" s="56" t="n">
        <v>1</v>
      </c>
      <c r="B15" s="59" t="inlineStr">
        <is>
          <t>18 no. scheduled on E-101</t>
        </is>
      </c>
      <c r="C15" s="59" t="n"/>
      <c r="D15" s="60" t="n"/>
      <c r="E15" s="60" t="n"/>
      <c r="F15" s="60" t="n">
        <v>1</v>
      </c>
      <c r="G15" s="60" t="n">
        <v>18</v>
      </c>
      <c r="H15" s="59" t="n"/>
      <c r="I15" s="85">
        <f>G15*F15</f>
        <v/>
      </c>
      <c r="J15" s="85">
        <f>G15*D15*E15</f>
        <v/>
      </c>
    </row>
    <row r="16">
      <c r="A16" s="64" t="inlineStr">
        <is>
          <t>TOTAL</t>
        </is>
      </c>
      <c r="I16" s="86">
        <f>SUM(I15:I15)</f>
        <v/>
      </c>
      <c r="J16" s="86">
        <f>SUM(J15:J15)</f>
        <v/>
      </c>
    </row>
    <row r="17"/>
    <row r="18">
      <c r="A18" s="21" t="inlineStr">
        <is>
          <t>Exterior wall pack, 25W (mark L3)</t>
        </is>
      </c>
      <c r="G18" s="56" t="inlineStr">
        <is>
          <t>26 51 00 | electrical | E-101</t>
        </is>
      </c>
    </row>
    <row r="19">
      <c r="A19"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0">
      <c r="A20" s="57" t="inlineStr">
        <is>
          <t>#</t>
        </is>
      </c>
      <c r="B20" s="57" t="inlineStr">
        <is>
          <t>Type / Location</t>
        </is>
      </c>
      <c r="C20" s="57" t="inlineStr">
        <is>
          <t>Type mark</t>
        </is>
      </c>
      <c r="D20" s="57" t="inlineStr">
        <is>
          <t>Width
(m)</t>
        </is>
      </c>
      <c r="E20" s="57" t="inlineStr">
        <is>
          <t>Height
(m)</t>
        </is>
      </c>
      <c r="F20" s="57" t="inlineStr">
        <is>
          <t>Per unit</t>
        </is>
      </c>
      <c r="G20" s="57" t="inlineStr">
        <is>
          <t>No.</t>
        </is>
      </c>
      <c r="H20" s="57" t="inlineStr">
        <is>
          <t>Basis / Source</t>
        </is>
      </c>
      <c r="I20" s="57" t="inlineStr">
        <is>
          <t>Quantity
(ea)</t>
        </is>
      </c>
      <c r="J20" s="57" t="inlineStr">
        <is>
          <t>Leaf area
(m2)</t>
        </is>
      </c>
    </row>
    <row r="21">
      <c r="A21" s="56" t="inlineStr">
        <is>
          <t>edit →</t>
        </is>
      </c>
      <c r="B21" s="58" t="inlineStr">
        <is>
          <t>editable</t>
        </is>
      </c>
      <c r="C21" s="58" t="inlineStr">
        <is>
          <t>editable</t>
        </is>
      </c>
      <c r="D21" s="58" t="inlineStr">
        <is>
          <t>editable</t>
        </is>
      </c>
      <c r="E21" s="58" t="inlineStr">
        <is>
          <t>editable</t>
        </is>
      </c>
      <c r="F21" s="58" t="inlineStr">
        <is>
          <t>editable</t>
        </is>
      </c>
      <c r="G21" s="58" t="inlineStr">
        <is>
          <t>editable</t>
        </is>
      </c>
      <c r="H21" s="58" t="inlineStr">
        <is>
          <t>editable</t>
        </is>
      </c>
      <c r="I21" s="58" t="inlineStr">
        <is>
          <t>formula</t>
        </is>
      </c>
      <c r="J21" s="58" t="inlineStr">
        <is>
          <t>formula</t>
        </is>
      </c>
    </row>
    <row r="22">
      <c r="A22" s="56" t="n">
        <v>1</v>
      </c>
      <c r="B22" s="59" t="inlineStr">
        <is>
          <t>8 no. scheduled on E-101</t>
        </is>
      </c>
      <c r="C22" s="59" t="n"/>
      <c r="D22" s="60" t="n"/>
      <c r="E22" s="60" t="n"/>
      <c r="F22" s="60" t="n">
        <v>1</v>
      </c>
      <c r="G22" s="60" t="n">
        <v>8</v>
      </c>
      <c r="H22" s="59" t="n"/>
      <c r="I22" s="85">
        <f>G22*F22</f>
        <v/>
      </c>
      <c r="J22" s="85">
        <f>G22*D22*E22</f>
        <v/>
      </c>
    </row>
    <row r="23">
      <c r="A23" s="64" t="inlineStr">
        <is>
          <t>TOTAL</t>
        </is>
      </c>
      <c r="I23" s="86">
        <f>SUM(I22:I22)</f>
        <v/>
      </c>
      <c r="J23" s="86">
        <f>SUM(J22:J22)</f>
        <v/>
      </c>
    </row>
    <row r="24"/>
    <row r="25">
      <c r="A25" s="21" t="inlineStr">
        <is>
          <t>Duplex receptacle, 20A (mark R1)</t>
        </is>
      </c>
      <c r="G25" s="56" t="inlineStr">
        <is>
          <t>26 27 26 | electrical | E-101</t>
        </is>
      </c>
    </row>
    <row r="26">
      <c r="A26"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7">
      <c r="A27" s="57" t="inlineStr">
        <is>
          <t>#</t>
        </is>
      </c>
      <c r="B27" s="57" t="inlineStr">
        <is>
          <t>Type / Location</t>
        </is>
      </c>
      <c r="C27" s="57" t="inlineStr">
        <is>
          <t>Type mark</t>
        </is>
      </c>
      <c r="D27" s="57" t="inlineStr">
        <is>
          <t>Width
(m)</t>
        </is>
      </c>
      <c r="E27" s="57" t="inlineStr">
        <is>
          <t>Height
(m)</t>
        </is>
      </c>
      <c r="F27" s="57" t="inlineStr">
        <is>
          <t>Per unit</t>
        </is>
      </c>
      <c r="G27" s="57" t="inlineStr">
        <is>
          <t>No.</t>
        </is>
      </c>
      <c r="H27" s="57" t="inlineStr">
        <is>
          <t>Basis / Source</t>
        </is>
      </c>
      <c r="I27" s="57" t="inlineStr">
        <is>
          <t>Quantity
(ea)</t>
        </is>
      </c>
      <c r="J27" s="57" t="inlineStr">
        <is>
          <t>Leaf area
(m2)</t>
        </is>
      </c>
    </row>
    <row r="28">
      <c r="A28" s="56" t="inlineStr">
        <is>
          <t>edit →</t>
        </is>
      </c>
      <c r="B28" s="58" t="inlineStr">
        <is>
          <t>editable</t>
        </is>
      </c>
      <c r="C28" s="58" t="inlineStr">
        <is>
          <t>editable</t>
        </is>
      </c>
      <c r="D28" s="58" t="inlineStr">
        <is>
          <t>editable</t>
        </is>
      </c>
      <c r="E28" s="58" t="inlineStr">
        <is>
          <t>editable</t>
        </is>
      </c>
      <c r="F28" s="58" t="inlineStr">
        <is>
          <t>editable</t>
        </is>
      </c>
      <c r="G28" s="58" t="inlineStr">
        <is>
          <t>editable</t>
        </is>
      </c>
      <c r="H28" s="58" t="inlineStr">
        <is>
          <t>editable</t>
        </is>
      </c>
      <c r="I28" s="58" t="inlineStr">
        <is>
          <t>formula</t>
        </is>
      </c>
      <c r="J28" s="58" t="inlineStr">
        <is>
          <t>formula</t>
        </is>
      </c>
    </row>
    <row r="29">
      <c r="A29" s="56" t="n">
        <v>1</v>
      </c>
      <c r="B29" s="59" t="inlineStr">
        <is>
          <t>46 no. scheduled on E-101</t>
        </is>
      </c>
      <c r="C29" s="59" t="n"/>
      <c r="D29" s="60" t="n"/>
      <c r="E29" s="60" t="n"/>
      <c r="F29" s="60" t="n">
        <v>1</v>
      </c>
      <c r="G29" s="60" t="n">
        <v>46</v>
      </c>
      <c r="H29" s="59" t="n"/>
      <c r="I29" s="85">
        <f>G29*F29</f>
        <v/>
      </c>
      <c r="J29" s="85">
        <f>G29*D29*E29</f>
        <v/>
      </c>
    </row>
    <row r="30">
      <c r="A30" s="64" t="inlineStr">
        <is>
          <t>TOTAL</t>
        </is>
      </c>
      <c r="I30" s="86">
        <f>SUM(I29:I29)</f>
        <v/>
      </c>
      <c r="J30" s="86">
        <f>SUM(J29:J29)</f>
        <v/>
      </c>
    </row>
    <row r="31"/>
    <row r="32">
      <c r="A32" s="21" t="inlineStr">
        <is>
          <t>Emergency light with battery (mark EM)</t>
        </is>
      </c>
      <c r="G32" s="56" t="inlineStr">
        <is>
          <t>26 27 26 | electrical | E-101</t>
        </is>
      </c>
    </row>
    <row r="33">
      <c r="A33"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34">
      <c r="A34" s="57" t="inlineStr">
        <is>
          <t>#</t>
        </is>
      </c>
      <c r="B34" s="57" t="inlineStr">
        <is>
          <t>Type / Location</t>
        </is>
      </c>
      <c r="C34" s="57" t="inlineStr">
        <is>
          <t>Type mark</t>
        </is>
      </c>
      <c r="D34" s="57" t="inlineStr">
        <is>
          <t>Width
(m)</t>
        </is>
      </c>
      <c r="E34" s="57" t="inlineStr">
        <is>
          <t>Height
(m)</t>
        </is>
      </c>
      <c r="F34" s="57" t="inlineStr">
        <is>
          <t>Per unit</t>
        </is>
      </c>
      <c r="G34" s="57" t="inlineStr">
        <is>
          <t>No.</t>
        </is>
      </c>
      <c r="H34" s="57" t="inlineStr">
        <is>
          <t>Basis / Source</t>
        </is>
      </c>
      <c r="I34" s="57" t="inlineStr">
        <is>
          <t>Quantity
(ea)</t>
        </is>
      </c>
      <c r="J34" s="57" t="inlineStr">
        <is>
          <t>Leaf area
(m2)</t>
        </is>
      </c>
    </row>
    <row r="35">
      <c r="A35" s="56" t="inlineStr">
        <is>
          <t>edit →</t>
        </is>
      </c>
      <c r="B35" s="58" t="inlineStr">
        <is>
          <t>editable</t>
        </is>
      </c>
      <c r="C35" s="58" t="inlineStr">
        <is>
          <t>editable</t>
        </is>
      </c>
      <c r="D35" s="58" t="inlineStr">
        <is>
          <t>editable</t>
        </is>
      </c>
      <c r="E35" s="58" t="inlineStr">
        <is>
          <t>editable</t>
        </is>
      </c>
      <c r="F35" s="58" t="inlineStr">
        <is>
          <t>editable</t>
        </is>
      </c>
      <c r="G35" s="58" t="inlineStr">
        <is>
          <t>editable</t>
        </is>
      </c>
      <c r="H35" s="58" t="inlineStr">
        <is>
          <t>editable</t>
        </is>
      </c>
      <c r="I35" s="58" t="inlineStr">
        <is>
          <t>formula</t>
        </is>
      </c>
      <c r="J35" s="58" t="inlineStr">
        <is>
          <t>formula</t>
        </is>
      </c>
    </row>
    <row r="36">
      <c r="A36" s="56" t="n">
        <v>1</v>
      </c>
      <c r="B36" s="59" t="inlineStr">
        <is>
          <t>10 no. scheduled on E-101</t>
        </is>
      </c>
      <c r="C36" s="59" t="n"/>
      <c r="D36" s="60" t="n"/>
      <c r="E36" s="60" t="n"/>
      <c r="F36" s="60" t="n">
        <v>1</v>
      </c>
      <c r="G36" s="60" t="n">
        <v>10</v>
      </c>
      <c r="H36" s="59" t="n"/>
      <c r="I36" s="85">
        <f>G36*F36</f>
        <v/>
      </c>
      <c r="J36" s="85">
        <f>G36*D36*E36</f>
        <v/>
      </c>
    </row>
    <row r="37">
      <c r="A37" s="64" t="inlineStr">
        <is>
          <t>TOTAL</t>
        </is>
      </c>
      <c r="I37" s="86">
        <f>SUM(I36:I36)</f>
        <v/>
      </c>
      <c r="J37" s="86">
        <f>SUM(J36:J36)</f>
        <v/>
      </c>
    </row>
    <row r="38"/>
    <row r="39">
      <c r="A39" s="21" t="inlineStr">
        <is>
          <t>Exit sign, LED (mark EX)</t>
        </is>
      </c>
      <c r="G39" s="56" t="inlineStr">
        <is>
          <t>26 27 26 | electrical | E-101</t>
        </is>
      </c>
    </row>
    <row r="40">
      <c r="A40"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41">
      <c r="A41" s="57" t="inlineStr">
        <is>
          <t>#</t>
        </is>
      </c>
      <c r="B41" s="57" t="inlineStr">
        <is>
          <t>Type / Location</t>
        </is>
      </c>
      <c r="C41" s="57" t="inlineStr">
        <is>
          <t>Type mark</t>
        </is>
      </c>
      <c r="D41" s="57" t="inlineStr">
        <is>
          <t>Width
(m)</t>
        </is>
      </c>
      <c r="E41" s="57" t="inlineStr">
        <is>
          <t>Height
(m)</t>
        </is>
      </c>
      <c r="F41" s="57" t="inlineStr">
        <is>
          <t>Per unit</t>
        </is>
      </c>
      <c r="G41" s="57" t="inlineStr">
        <is>
          <t>No.</t>
        </is>
      </c>
      <c r="H41" s="57" t="inlineStr">
        <is>
          <t>Basis / Source</t>
        </is>
      </c>
      <c r="I41" s="57" t="inlineStr">
        <is>
          <t>Quantity
(ea)</t>
        </is>
      </c>
      <c r="J41" s="57" t="inlineStr">
        <is>
          <t>Leaf area
(m2)</t>
        </is>
      </c>
    </row>
    <row r="42">
      <c r="A42" s="56" t="inlineStr">
        <is>
          <t>edit →</t>
        </is>
      </c>
      <c r="B42" s="58" t="inlineStr">
        <is>
          <t>editable</t>
        </is>
      </c>
      <c r="C42" s="58" t="inlineStr">
        <is>
          <t>editable</t>
        </is>
      </c>
      <c r="D42" s="58" t="inlineStr">
        <is>
          <t>editable</t>
        </is>
      </c>
      <c r="E42" s="58" t="inlineStr">
        <is>
          <t>editable</t>
        </is>
      </c>
      <c r="F42" s="58" t="inlineStr">
        <is>
          <t>editable</t>
        </is>
      </c>
      <c r="G42" s="58" t="inlineStr">
        <is>
          <t>editable</t>
        </is>
      </c>
      <c r="H42" s="58" t="inlineStr">
        <is>
          <t>editable</t>
        </is>
      </c>
      <c r="I42" s="58" t="inlineStr">
        <is>
          <t>formula</t>
        </is>
      </c>
      <c r="J42" s="58" t="inlineStr">
        <is>
          <t>formula</t>
        </is>
      </c>
    </row>
    <row r="43">
      <c r="A43" s="56" t="n">
        <v>1</v>
      </c>
      <c r="B43" s="59" t="inlineStr">
        <is>
          <t>6 no. scheduled on E-101</t>
        </is>
      </c>
      <c r="C43" s="59" t="n"/>
      <c r="D43" s="60" t="n"/>
      <c r="E43" s="60" t="n"/>
      <c r="F43" s="60" t="n">
        <v>1</v>
      </c>
      <c r="G43" s="60" t="n">
        <v>6</v>
      </c>
      <c r="H43" s="59" t="n"/>
      <c r="I43" s="85">
        <f>G43*F43</f>
        <v/>
      </c>
      <c r="J43" s="85">
        <f>G43*D43*E43</f>
        <v/>
      </c>
    </row>
    <row r="44">
      <c r="A44" s="64" t="inlineStr">
        <is>
          <t>TOTAL</t>
        </is>
      </c>
      <c r="I44" s="86">
        <f>SUM(I43:I43)</f>
        <v/>
      </c>
      <c r="J44" s="86">
        <f>SUM(J43:J43)</f>
        <v/>
      </c>
    </row>
    <row r="45"/>
    <row r="46">
      <c r="A46" s="21" t="inlineStr">
        <is>
          <t>Panelboard, 208Y/120V, 42 circuit, surface mounted</t>
        </is>
      </c>
      <c r="G46" s="56" t="inlineStr">
        <is>
          <t>26 24 16 | panelboards | E-101</t>
        </is>
      </c>
    </row>
    <row r="47">
      <c r="A47"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48">
      <c r="A48" s="57" t="inlineStr">
        <is>
          <t>#</t>
        </is>
      </c>
      <c r="B48" s="57" t="inlineStr">
        <is>
          <t>Type / Location</t>
        </is>
      </c>
      <c r="C48" s="57" t="inlineStr">
        <is>
          <t>Type mark</t>
        </is>
      </c>
      <c r="D48" s="57" t="inlineStr">
        <is>
          <t>Width
(m)</t>
        </is>
      </c>
      <c r="E48" s="57" t="inlineStr">
        <is>
          <t>Height
(m)</t>
        </is>
      </c>
      <c r="F48" s="57" t="inlineStr">
        <is>
          <t>Per unit</t>
        </is>
      </c>
      <c r="G48" s="57" t="inlineStr">
        <is>
          <t>No.</t>
        </is>
      </c>
      <c r="H48" s="57" t="inlineStr">
        <is>
          <t>Basis / Source</t>
        </is>
      </c>
      <c r="I48" s="57" t="inlineStr">
        <is>
          <t>Quantity
(ea)</t>
        </is>
      </c>
      <c r="J48" s="57" t="inlineStr">
        <is>
          <t>Leaf area
(m2)</t>
        </is>
      </c>
    </row>
    <row r="49">
      <c r="A49" s="56" t="inlineStr">
        <is>
          <t>edit →</t>
        </is>
      </c>
      <c r="B49" s="58" t="inlineStr">
        <is>
          <t>editable</t>
        </is>
      </c>
      <c r="C49" s="58" t="inlineStr">
        <is>
          <t>editable</t>
        </is>
      </c>
      <c r="D49" s="58" t="inlineStr">
        <is>
          <t>editable</t>
        </is>
      </c>
      <c r="E49" s="58" t="inlineStr">
        <is>
          <t>editable</t>
        </is>
      </c>
      <c r="F49" s="58" t="inlineStr">
        <is>
          <t>editable</t>
        </is>
      </c>
      <c r="G49" s="58" t="inlineStr">
        <is>
          <t>editable</t>
        </is>
      </c>
      <c r="H49" s="58" t="inlineStr">
        <is>
          <t>editable</t>
        </is>
      </c>
      <c r="I49" s="58" t="inlineStr">
        <is>
          <t>formula</t>
        </is>
      </c>
      <c r="J49" s="58" t="inlineStr">
        <is>
          <t>formula</t>
        </is>
      </c>
    </row>
    <row r="50">
      <c r="A50" s="56" t="n">
        <v>1</v>
      </c>
      <c r="B50" s="59" t="inlineStr">
        <is>
          <t>1 no. scheduled on E-101</t>
        </is>
      </c>
      <c r="C50" s="59" t="n"/>
      <c r="D50" s="60" t="n"/>
      <c r="E50" s="60" t="n"/>
      <c r="F50" s="60" t="n">
        <v>1</v>
      </c>
      <c r="G50" s="60" t="n">
        <v>1</v>
      </c>
      <c r="H50" s="59" t="n"/>
      <c r="I50" s="85">
        <f>G50*F50</f>
        <v/>
      </c>
      <c r="J50" s="85">
        <f>G50*D50*E50</f>
        <v/>
      </c>
    </row>
    <row r="51">
      <c r="A51" s="64" t="inlineStr">
        <is>
          <t>TOTAL</t>
        </is>
      </c>
      <c r="I51" s="86">
        <f>SUM(I50:I50)</f>
        <v/>
      </c>
      <c r="J51" s="86">
        <f>SUM(J50:J50)</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4.xml><?xml version="1.0" encoding="utf-8"?>
<worksheet xmlns="http://schemas.openxmlformats.org/spreadsheetml/2006/main">
  <sheetPr>
    <outlinePr summaryBelow="1" summaryRight="1"/>
    <pageSetUpPr fitToPage="1"/>
  </sheetPr>
  <dimension ref="A1:S10"/>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External</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'Backup-External'!B4</f>
        <v/>
      </c>
      <c r="C4" s="17">
        <f>'Backup-External'!C4</f>
        <v/>
      </c>
      <c r="D4" s="24">
        <f>'Backup-External'!D4</f>
        <v/>
      </c>
      <c r="E4" s="44" t="n"/>
      <c r="F4" s="44" t="n"/>
      <c r="G4" s="24">
        <f>IF(D4="","",D4*(N(E4)+N(F4)*PREVWAGE*DFACTOR))</f>
        <v/>
      </c>
      <c r="H4" s="17">
        <f>'Backup-External'!F4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A5" s="17" t="n">
        <v>2</v>
      </c>
      <c r="B5" s="18">
        <f>'Backup-External'!B5</f>
        <v/>
      </c>
      <c r="C5" s="17">
        <f>'Backup-External'!C5</f>
        <v/>
      </c>
      <c r="D5" s="24">
        <f>'Backup-External'!D5</f>
        <v/>
      </c>
      <c r="E5" s="44" t="n"/>
      <c r="F5" s="44" t="n"/>
      <c r="G5" s="24">
        <f>IF(D5="","",D5*(N(E5)+N(F5)*PREVWAGE*DFACTOR))</f>
        <v/>
      </c>
      <c r="H5" s="17">
        <f>'Backup-External'!F5</f>
        <v/>
      </c>
      <c r="I5" s="49">
        <f>MATLOSS</f>
        <v/>
      </c>
      <c r="J5" s="49">
        <f>MATMARKUP</f>
        <v/>
      </c>
      <c r="K5" s="49">
        <f>LABMARKUP</f>
        <v/>
      </c>
      <c r="L5" s="24">
        <f>IF(N(E5)=0,0,ROUND(E5*(1+J5),2))</f>
        <v/>
      </c>
      <c r="M5" s="24">
        <f>IF(N(F5)=0,0,ROUND(F5*PREVWAGE*DFACTOR*(1+K5),2))</f>
        <v/>
      </c>
      <c r="N5" s="24">
        <f>IF(D5="","",ROUND(D5*(1+N(I5))*(N(L5)+N(M5)),2))</f>
        <v/>
      </c>
      <c r="O5" s="24">
        <f>IF(D5="","",N(N5)-N(G5))</f>
        <v/>
      </c>
      <c r="P5" s="24" t="n"/>
      <c r="Q5" s="24" t="n"/>
      <c r="R5" s="17" t="n"/>
      <c r="S5" s="18" t="n"/>
    </row>
    <row r="6">
      <c r="A6" s="17" t="n">
        <v>3</v>
      </c>
      <c r="B6" s="18">
        <f>'Backup-External'!B6</f>
        <v/>
      </c>
      <c r="C6" s="17">
        <f>'Backup-External'!C6</f>
        <v/>
      </c>
      <c r="D6" s="24">
        <f>'Backup-External'!D6</f>
        <v/>
      </c>
      <c r="E6" s="44" t="n"/>
      <c r="F6" s="44" t="n"/>
      <c r="G6" s="24">
        <f>IF(D6="","",D6*(N(E6)+N(F6)*PREVWAGE*DFACTOR))</f>
        <v/>
      </c>
      <c r="H6" s="17">
        <f>'Backup-External'!F6</f>
        <v/>
      </c>
      <c r="I6" s="49">
        <f>MATLOSS</f>
        <v/>
      </c>
      <c r="J6" s="49">
        <f>MATMARKUP</f>
        <v/>
      </c>
      <c r="K6" s="49">
        <f>LABMARKUP</f>
        <v/>
      </c>
      <c r="L6" s="24">
        <f>IF(N(E6)=0,0,ROUND(E6*(1+J6),2))</f>
        <v/>
      </c>
      <c r="M6" s="24">
        <f>IF(N(F6)=0,0,ROUND(F6*PREVWAGE*DFACTOR*(1+K6),2))</f>
        <v/>
      </c>
      <c r="N6" s="24">
        <f>IF(D6="","",ROUND(D6*(1+N(I6))*(N(L6)+N(M6)),2))</f>
        <v/>
      </c>
      <c r="O6" s="24">
        <f>IF(D6="","",N(N6)-N(G6))</f>
        <v/>
      </c>
      <c r="P6" s="24" t="n"/>
      <c r="Q6" s="24" t="n"/>
      <c r="R6" s="17" t="n"/>
      <c r="S6" s="18" t="n"/>
    </row>
    <row r="7">
      <c r="A7" s="17" t="n">
        <v>4</v>
      </c>
      <c r="B7" s="18">
        <f>'Backup-External'!B7</f>
        <v/>
      </c>
      <c r="C7" s="17">
        <f>'Backup-External'!C7</f>
        <v/>
      </c>
      <c r="D7" s="24">
        <f>'Backup-External'!D7</f>
        <v/>
      </c>
      <c r="E7" s="44" t="n"/>
      <c r="F7" s="44" t="n"/>
      <c r="G7" s="24">
        <f>IF(D7="","",D7*(N(E7)+N(F7)*PREVWAGE*DFACTOR))</f>
        <v/>
      </c>
      <c r="H7" s="17">
        <f>'Backup-External'!F7</f>
        <v/>
      </c>
      <c r="I7" s="49">
        <f>MATLOSS</f>
        <v/>
      </c>
      <c r="J7" s="49">
        <f>MATMARKUP</f>
        <v/>
      </c>
      <c r="K7" s="49">
        <f>LABMARKUP</f>
        <v/>
      </c>
      <c r="L7" s="24">
        <f>IF(N(E7)=0,0,ROUND(E7*(1+J7),2))</f>
        <v/>
      </c>
      <c r="M7" s="24">
        <f>IF(N(F7)=0,0,ROUND(F7*PREVWAGE*DFACTOR*(1+K7),2))</f>
        <v/>
      </c>
      <c r="N7" s="24">
        <f>IF(D7="","",ROUND(D7*(1+N(I7))*(N(L7)+N(M7)),2))</f>
        <v/>
      </c>
      <c r="O7" s="24">
        <f>IF(D7="","",N(N7)-N(G7))</f>
        <v/>
      </c>
      <c r="P7" s="24" t="n"/>
      <c r="Q7" s="24" t="n"/>
      <c r="R7" s="17" t="n"/>
      <c r="S7" s="18" t="n"/>
    </row>
    <row r="8">
      <c r="A8" s="17" t="n">
        <v>5</v>
      </c>
      <c r="B8" s="18">
        <f>'Backup-External'!B8</f>
        <v/>
      </c>
      <c r="C8" s="17">
        <f>'Backup-External'!C8</f>
        <v/>
      </c>
      <c r="D8" s="24">
        <f>'Backup-External'!D8</f>
        <v/>
      </c>
      <c r="E8" s="44" t="n"/>
      <c r="F8" s="44" t="n"/>
      <c r="G8" s="24">
        <f>IF(D8="","",D8*(N(E8)+N(F8)*PREVWAGE*DFACTOR))</f>
        <v/>
      </c>
      <c r="H8" s="17">
        <f>'Backup-External'!F8</f>
        <v/>
      </c>
      <c r="I8" s="49">
        <f>MATLOSS</f>
        <v/>
      </c>
      <c r="J8" s="49">
        <f>MATMARKUP</f>
        <v/>
      </c>
      <c r="K8" s="49">
        <f>LABMARKUP</f>
        <v/>
      </c>
      <c r="L8" s="24">
        <f>IF(N(E8)=0,0,ROUND(E8*(1+J8),2))</f>
        <v/>
      </c>
      <c r="M8" s="24">
        <f>IF(N(F8)=0,0,ROUND(F8*PREVWAGE*DFACTOR*(1+K8),2))</f>
        <v/>
      </c>
      <c r="N8" s="24">
        <f>IF(D8="","",ROUND(D8*(1+N(I8))*(N(L8)+N(M8)),2))</f>
        <v/>
      </c>
      <c r="O8" s="24">
        <f>IF(D8="","",N(N8)-N(G8))</f>
        <v/>
      </c>
      <c r="P8" s="24" t="n"/>
      <c r="Q8" s="24" t="n"/>
      <c r="R8" s="17" t="n"/>
      <c r="S8" s="18" t="n"/>
    </row>
    <row r="9">
      <c r="A9" s="17" t="n">
        <v>6</v>
      </c>
      <c r="B9" s="18">
        <f>'Backup-External'!B9</f>
        <v/>
      </c>
      <c r="C9" s="17">
        <f>'Backup-External'!C9</f>
        <v/>
      </c>
      <c r="D9" s="24">
        <f>'Backup-External'!D9</f>
        <v/>
      </c>
      <c r="E9" s="44" t="n"/>
      <c r="F9" s="44" t="n"/>
      <c r="G9" s="24">
        <f>IF(D9="","",D9*(N(E9)+N(F9)*PREVWAGE*DFACTOR))</f>
        <v/>
      </c>
      <c r="H9" s="17">
        <f>'Backup-External'!F9</f>
        <v/>
      </c>
      <c r="I9" s="49">
        <f>MATLOSS</f>
        <v/>
      </c>
      <c r="J9" s="49">
        <f>MATMARKUP</f>
        <v/>
      </c>
      <c r="K9" s="49">
        <f>LABMARKUP</f>
        <v/>
      </c>
      <c r="L9" s="24">
        <f>IF(N(E9)=0,0,ROUND(E9*(1+J9),2))</f>
        <v/>
      </c>
      <c r="M9" s="24">
        <f>IF(N(F9)=0,0,ROUND(F9*PREVWAGE*DFACTOR*(1+K9),2))</f>
        <v/>
      </c>
      <c r="N9" s="24">
        <f>IF(D9="","",ROUND(D9*(1+N(I9))*(N(L9)+N(M9)),2))</f>
        <v/>
      </c>
      <c r="O9" s="24">
        <f>IF(D9="","",N(N9)-N(G9))</f>
        <v/>
      </c>
      <c r="P9" s="24" t="n"/>
      <c r="Q9" s="24" t="n"/>
      <c r="R9" s="17" t="n"/>
      <c r="S9" s="18" t="n"/>
    </row>
    <row r="10">
      <c r="B10" s="25" t="inlineStr">
        <is>
          <t>External — Direct Subtotal</t>
        </is>
      </c>
      <c r="G10" s="48">
        <f>SUM(G4:G9)</f>
        <v/>
      </c>
      <c r="N10" s="48">
        <f>SUM(N4:N9)</f>
        <v/>
      </c>
      <c r="O10" s="48">
        <f>SUM(O4:O9)</f>
        <v/>
      </c>
      <c r="P10" s="54">
        <f>SUMPRODUCT(D4:D9,P4:P9)</f>
        <v/>
      </c>
      <c r="Q10" s="54">
        <f>SUMPRODUCT(D4:D9,Q4:Q9)</f>
        <v/>
      </c>
      <c r="R10"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5.xml><?xml version="1.0" encoding="utf-8"?>
<worksheet xmlns="http://schemas.openxmlformats.org/spreadsheetml/2006/main">
  <sheetPr>
    <outlinePr summaryBelow="1" summaryRight="1"/>
    <pageSetUpPr fitToPage="1"/>
  </sheetPr>
  <dimension ref="A1:I9"/>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External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Asphalt paving on 6 in aggregate base, car park</t>
        </is>
      </c>
      <c r="C4" s="17" t="inlineStr">
        <is>
          <t>SF</t>
        </is>
      </c>
      <c r="D4" s="24">
        <f>'Calc-External'!I9*10.7639</f>
        <v/>
      </c>
      <c r="E4" s="17" t="inlineStr">
        <is>
          <t>C-101</t>
        </is>
      </c>
      <c r="F4" s="17" t="n">
        <v>0.9</v>
      </c>
      <c r="G4" s="18" t="inlineStr">
        <is>
          <t>Bay layout is drawn; the outline is dimensioned only by the grid, so this is scaled.</t>
        </is>
      </c>
      <c r="H4" s="18" t="inlineStr">
        <is>
          <t>None</t>
        </is>
      </c>
      <c r="I4" s="18" t="inlineStr">
        <is>
          <t>32 12 16</t>
        </is>
      </c>
    </row>
    <row r="5">
      <c r="A5" s="17" t="n">
        <v>2</v>
      </c>
      <c r="B5" s="18" t="inlineStr">
        <is>
          <t>Concrete sidewalk, 6 in, 5 ft wide, broom finish</t>
        </is>
      </c>
      <c r="C5" s="17" t="inlineStr">
        <is>
          <t>LF</t>
        </is>
      </c>
      <c r="D5" s="24">
        <f>'Calc-External'!H17*3.28084</f>
        <v/>
      </c>
      <c r="E5" s="17" t="inlineStr">
        <is>
          <t>C-101</t>
        </is>
      </c>
      <c r="F5" s="17" t="n">
        <v>0.9</v>
      </c>
      <c r="G5" s="18" t="inlineStr">
        <is>
          <t>Scaled: the walk is drawn but its length is not dimensioned.</t>
        </is>
      </c>
      <c r="H5" s="18" t="inlineStr">
        <is>
          <t>None</t>
        </is>
      </c>
      <c r="I5" s="18" t="inlineStr">
        <is>
          <t>32 16 13</t>
        </is>
      </c>
    </row>
    <row r="6">
      <c r="A6" s="17" t="n">
        <v>3</v>
      </c>
      <c r="B6" s="18" t="inlineStr">
        <is>
          <t>Water service, 6 in, from main to building</t>
        </is>
      </c>
      <c r="C6" s="17" t="inlineStr">
        <is>
          <t>LF</t>
        </is>
      </c>
      <c r="D6" s="24">
        <f>'Calc-External'!H25*3.28084</f>
        <v/>
      </c>
      <c r="E6" s="17" t="inlineStr">
        <is>
          <t>C-201</t>
        </is>
      </c>
      <c r="F6" s="17" t="n">
        <v>1</v>
      </c>
      <c r="G6" s="18" t="inlineStr">
        <is>
          <t>Length is printed on the sheet.</t>
        </is>
      </c>
      <c r="H6" s="18" t="inlineStr">
        <is>
          <t>None</t>
        </is>
      </c>
      <c r="I6" s="18" t="inlineStr">
        <is>
          <t>33 11 00</t>
        </is>
      </c>
    </row>
    <row r="7">
      <c r="A7" s="17" t="n">
        <v>4</v>
      </c>
      <c r="B7" s="18" t="inlineStr">
        <is>
          <t>Sanitary sewer, 6 in, to main, including 2 manholes</t>
        </is>
      </c>
      <c r="C7" s="17" t="inlineStr">
        <is>
          <t>LF</t>
        </is>
      </c>
      <c r="D7" s="24">
        <f>'Calc-External'!H33*3.28084</f>
        <v/>
      </c>
      <c r="E7" s="17" t="inlineStr">
        <is>
          <t>C-201</t>
        </is>
      </c>
      <c r="F7" s="17" t="n">
        <v>1</v>
      </c>
      <c r="G7" s="18" t="inlineStr">
        <is>
          <t>Length is printed on the sheet.</t>
        </is>
      </c>
      <c r="H7" s="18" t="inlineStr">
        <is>
          <t>None</t>
        </is>
      </c>
      <c r="I7" s="18" t="inlineStr">
        <is>
          <t>33 31 00</t>
        </is>
      </c>
    </row>
    <row r="8">
      <c r="A8" s="17" t="n">
        <v>5</v>
      </c>
      <c r="B8" s="18" t="inlineStr">
        <is>
          <t>Refuse enclosure screen — construction and height not shown</t>
        </is>
      </c>
      <c r="C8" s="17" t="inlineStr">
        <is>
          <t>LF</t>
        </is>
      </c>
      <c r="D8" s="24" t="n">
        <v>0</v>
      </c>
      <c r="E8" s="17" t="inlineStr">
        <is>
          <t>C-101</t>
        </is>
      </c>
      <c r="F8" s="65" t="n">
        <v>0.5</v>
      </c>
      <c r="G8" s="18" t="inlineStr">
        <is>
          <t>C-101 keynote 3 calls for a 12 x 10 refuse pad but no enclosure elevation, material or height is drawn anywhere in the set. A quantity here would be invented. What would resolve it: an enclosure detail or a note stating the screen type and height.</t>
        </is>
      </c>
      <c r="H8" s="18" t="inlineStr">
        <is>
          <t>None</t>
        </is>
      </c>
      <c r="I8" s="18" t="inlineStr">
        <is>
          <t>32 31 13</t>
        </is>
      </c>
    </row>
    <row r="9">
      <c r="A9" s="17" t="n">
        <v>6</v>
      </c>
      <c r="B9" s="18" t="inlineStr">
        <is>
          <t>Site and car park lighting — BY OTHERS per G-002</t>
        </is>
      </c>
      <c r="C9" s="17" t="inlineStr">
        <is>
          <t>EA</t>
        </is>
      </c>
      <c r="D9" s="24" t="n">
        <v>0</v>
      </c>
      <c r="E9" s="17" t="inlineStr">
        <is>
          <t>G-002, C-101</t>
        </is>
      </c>
      <c r="F9" s="65" t="n">
        <v>0.5</v>
      </c>
      <c r="G9" s="18" t="inlineStr">
        <is>
          <t>The scope note on G-002 places site lighting with others, and C-101 keynote 5 repeats it. Excluded from this takeoff rather than carried at zero without saying why.</t>
        </is>
      </c>
      <c r="H9" s="18" t="inlineStr">
        <is>
          <t>None</t>
        </is>
      </c>
      <c r="I9" s="18" t="inlineStr">
        <is>
          <t>26 56 00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6.xml><?xml version="1.0" encoding="utf-8"?>
<worksheet xmlns="http://schemas.openxmlformats.org/spreadsheetml/2006/main">
  <sheetPr>
    <tabColor rgb="001F4E5F"/>
    <outlinePr summaryBelow="1" summaryRight="1"/>
    <pageSetUpPr fitToPage="1"/>
  </sheetPr>
  <dimension ref="A1:J33"/>
  <sheetViews>
    <sheetView showGridLines="0" workbookViewId="0">
      <pane ySplit="3" topLeftCell="A4" activePane="bottomLeft" state="frozen"/>
      <selection pane="bottomLeft" activeCell="A1" sqref="A1"/>
    </sheetView>
  </sheetViews>
  <sheetFormatPr baseColWidth="8" defaultRowHeight="15"/>
  <cols>
    <col width="34" customWidth="1" min="2" max="2"/>
    <col width="7" customWidth="1" min="3" max="3"/>
    <col width="12" customWidth="1" min="4" max="4"/>
    <col width="14" customWidth="1" min="5" max="5"/>
    <col width="16" customWidth="1" min="6" max="6"/>
    <col width="9" customWidth="1" min="7" max="7"/>
    <col width="12" customWidth="1" min="8" max="8"/>
    <col width="12" customWidth="1" min="9" max="9"/>
    <col width="12" customWidth="1" min="10" max="10"/>
  </cols>
  <sheetData>
    <row r="1">
      <c r="A1" s="55" t="inlineStr">
        <is>
          <t>Calculation sheet — External</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Asphalt paving on 6 in aggregate base, car park</t>
        </is>
      </c>
      <c r="G4" s="56" t="inlineStr">
        <is>
          <t>32 12 16 | asphalt paving | C-101</t>
        </is>
      </c>
    </row>
    <row r="5">
      <c r="A5"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6">
      <c r="A6" s="57" t="inlineStr">
        <is>
          <t>#</t>
        </is>
      </c>
      <c r="B6" s="57" t="inlineStr">
        <is>
          <t>Room / Zone</t>
        </is>
      </c>
      <c r="C6" s="57" t="inlineStr">
        <is>
          <t>No.</t>
        </is>
      </c>
      <c r="D6" s="57" t="inlineStr">
        <is>
          <t>Length
(m)</t>
        </is>
      </c>
      <c r="E6" s="57" t="inlineStr">
        <is>
          <t>Width
(m)</t>
        </is>
      </c>
      <c r="F6" s="57" t="inlineStr">
        <is>
          <t>Finish code</t>
        </is>
      </c>
      <c r="G6" s="57" t="inlineStr">
        <is>
          <t>Area (measured directly)
(m2)</t>
        </is>
      </c>
      <c r="H6" s="57" t="inlineStr">
        <is>
          <t>Factor</t>
        </is>
      </c>
      <c r="I6" s="57" t="inlineStr">
        <is>
          <t>Area
(m2)</t>
        </is>
      </c>
      <c r="J6" s="57" t="inlineStr">
        <is>
          <t>PAVE</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editable</t>
        </is>
      </c>
      <c r="I7" s="58" t="inlineStr">
        <is>
          <t>formula</t>
        </is>
      </c>
      <c r="J7" s="58" t="inlineStr">
        <is>
          <t>formula</t>
        </is>
      </c>
    </row>
    <row r="8">
      <c r="A8" s="56" t="n">
        <v>1</v>
      </c>
      <c r="B8" s="59" t="inlineStr">
        <is>
          <t>Car park rectangle scaled off C-101</t>
        </is>
      </c>
      <c r="C8" s="60" t="n">
        <v>1</v>
      </c>
      <c r="D8" s="60" t="n">
        <v>0</v>
      </c>
      <c r="E8" s="60" t="n">
        <v>0</v>
      </c>
      <c r="F8" s="59" t="inlineStr">
        <is>
          <t>PAVE</t>
        </is>
      </c>
      <c r="G8" s="84" t="n">
        <v>208.103</v>
      </c>
      <c r="H8" s="84" t="n">
        <v>1</v>
      </c>
      <c r="I8" s="85">
        <f>(IF(G8&gt;0,C8*G8,C8*D8*E8))*H8</f>
        <v/>
      </c>
      <c r="J8" s="85">
        <f>IF($F8=J$6,I8,0)</f>
        <v/>
      </c>
    </row>
    <row r="9">
      <c r="A9" s="56" t="inlineStr">
        <is>
          <t>note: linked to the Backup sheet as m2 x 10.7639 = SF</t>
        </is>
      </c>
      <c r="I9" s="86">
        <f>SUM(I8:I8)</f>
        <v/>
      </c>
      <c r="J9" s="86">
        <f>SUM(J8:J8)</f>
        <v/>
      </c>
    </row>
    <row r="10"/>
    <row r="11"/>
    <row r="12">
      <c r="A12" s="21" t="inlineStr">
        <is>
          <t>Concrete sidewalk, 6 in, 5 ft wide, broom finish</t>
        </is>
      </c>
      <c r="F12" s="56" t="inlineStr">
        <is>
          <t>32 16 13 | sidewalk | C-101</t>
        </is>
      </c>
    </row>
    <row r="13">
      <c r="A13" s="56" t="inlineStr">
        <is>
          <t>Route length measured off the plan or riser. Vertical drops/risers entered as their own rows so the client can see and adjust them separately from horizontal runs. For an irregular shape, put the measured area/length in the 'measured directly' column and leave the dimension columns blank.</t>
        </is>
      </c>
    </row>
    <row r="14">
      <c r="A14" s="57" t="inlineStr">
        <is>
          <t>#</t>
        </is>
      </c>
      <c r="B14" s="57" t="inlineStr">
        <is>
          <t>Run / Segment</t>
        </is>
      </c>
      <c r="C14" s="57" t="inlineStr">
        <is>
          <t>No.</t>
        </is>
      </c>
      <c r="D14" s="57" t="inlineStr">
        <is>
          <t>Length each
(m)</t>
        </is>
      </c>
      <c r="E14" s="57" t="inlineStr">
        <is>
          <t>Size / Type</t>
        </is>
      </c>
      <c r="F14" s="57" t="inlineStr">
        <is>
          <t>Length (measured directly)
(m)</t>
        </is>
      </c>
      <c r="G14" s="57" t="inlineStr">
        <is>
          <t>Factor</t>
        </is>
      </c>
      <c r="H14" s="57" t="inlineStr">
        <is>
          <t>Length
(m)</t>
        </is>
      </c>
      <c r="I14" s="57" t="inlineStr">
        <is>
          <t>WALK</t>
        </is>
      </c>
    </row>
    <row r="15">
      <c r="A15" s="56" t="inlineStr">
        <is>
          <t>edit →</t>
        </is>
      </c>
      <c r="B15" s="58" t="inlineStr">
        <is>
          <t>editable</t>
        </is>
      </c>
      <c r="C15" s="58" t="inlineStr">
        <is>
          <t>editable</t>
        </is>
      </c>
      <c r="D15" s="58" t="inlineStr">
        <is>
          <t>editable</t>
        </is>
      </c>
      <c r="E15" s="58" t="inlineStr">
        <is>
          <t>editable</t>
        </is>
      </c>
      <c r="F15" s="58" t="inlineStr">
        <is>
          <t>editable</t>
        </is>
      </c>
      <c r="G15" s="58" t="inlineStr">
        <is>
          <t>editable</t>
        </is>
      </c>
      <c r="H15" s="58" t="inlineStr">
        <is>
          <t>formula</t>
        </is>
      </c>
      <c r="I15" s="58" t="inlineStr">
        <is>
          <t>formula</t>
        </is>
      </c>
    </row>
    <row r="16">
      <c r="A16" s="56" t="n">
        <v>1</v>
      </c>
      <c r="B16" s="59" t="inlineStr">
        <is>
          <t>Sidewalk runs scaled off C-101</t>
        </is>
      </c>
      <c r="C16" s="60" t="n">
        <v>1</v>
      </c>
      <c r="D16" s="60" t="n">
        <v>0</v>
      </c>
      <c r="E16" s="59" t="inlineStr">
        <is>
          <t>WALK</t>
        </is>
      </c>
      <c r="F16" s="84" t="n">
        <v>36.576</v>
      </c>
      <c r="G16" s="84" t="n">
        <v>1</v>
      </c>
      <c r="H16" s="85">
        <f>(IF(F16&gt;0,C16*F16,C16*D16))*G16</f>
        <v/>
      </c>
      <c r="I16" s="85">
        <f>IF($E16=I$14,H16,0)</f>
        <v/>
      </c>
    </row>
    <row r="17">
      <c r="A17" s="56" t="inlineStr">
        <is>
          <t>note: linked to the Backup sheet as m x 3.28084 = LF</t>
        </is>
      </c>
      <c r="H17" s="86">
        <f>SUM(H16:H16)</f>
        <v/>
      </c>
      <c r="I17" s="86">
        <f>SUM(I16:I16)</f>
        <v/>
      </c>
    </row>
    <row r="18"/>
    <row r="19"/>
    <row r="20">
      <c r="A20" s="21" t="inlineStr">
        <is>
          <t>Water service, 6 in, from main to building</t>
        </is>
      </c>
      <c r="F20" s="56" t="inlineStr">
        <is>
          <t>33 11 00 | water service | C-201</t>
        </is>
      </c>
    </row>
    <row r="21">
      <c r="A21" s="56" t="inlineStr">
        <is>
          <t>Route length measured off the plan or riser. Vertical drops/risers entered as their own rows so the client can see and adjust them separately from horizontal runs. For an irregular shape, put the measured area/length in the 'measured directly' column and leave the dimension columns blank.</t>
        </is>
      </c>
    </row>
    <row r="22">
      <c r="A22" s="57" t="inlineStr">
        <is>
          <t>#</t>
        </is>
      </c>
      <c r="B22" s="57" t="inlineStr">
        <is>
          <t>Run / Segment</t>
        </is>
      </c>
      <c r="C22" s="57" t="inlineStr">
        <is>
          <t>No.</t>
        </is>
      </c>
      <c r="D22" s="57" t="inlineStr">
        <is>
          <t>Length each
(m)</t>
        </is>
      </c>
      <c r="E22" s="57" t="inlineStr">
        <is>
          <t>Size / Type</t>
        </is>
      </c>
      <c r="F22" s="57" t="inlineStr">
        <is>
          <t>Length (measured directly)
(m)</t>
        </is>
      </c>
      <c r="G22" s="57" t="inlineStr">
        <is>
          <t>Factor</t>
        </is>
      </c>
      <c r="H22" s="57" t="inlineStr">
        <is>
          <t>Length
(m)</t>
        </is>
      </c>
      <c r="I22" s="57" t="inlineStr">
        <is>
          <t>WATER</t>
        </is>
      </c>
    </row>
    <row r="23">
      <c r="A23" s="56" t="inlineStr">
        <is>
          <t>edit →</t>
        </is>
      </c>
      <c r="B23" s="58" t="inlineStr">
        <is>
          <t>editable</t>
        </is>
      </c>
      <c r="C23" s="58" t="inlineStr">
        <is>
          <t>editable</t>
        </is>
      </c>
      <c r="D23" s="58" t="inlineStr">
        <is>
          <t>editable</t>
        </is>
      </c>
      <c r="E23" s="58" t="inlineStr">
        <is>
          <t>editable</t>
        </is>
      </c>
      <c r="F23" s="58" t="inlineStr">
        <is>
          <t>editable</t>
        </is>
      </c>
      <c r="G23" s="58" t="inlineStr">
        <is>
          <t>editable</t>
        </is>
      </c>
      <c r="H23" s="58" t="inlineStr">
        <is>
          <t>formula</t>
        </is>
      </c>
      <c r="I23" s="58" t="inlineStr">
        <is>
          <t>formula</t>
        </is>
      </c>
    </row>
    <row r="24">
      <c r="A24" s="56" t="n">
        <v>1</v>
      </c>
      <c r="B24" s="59" t="inlineStr">
        <is>
          <t>Water service, C-201 keynote 1</t>
        </is>
      </c>
      <c r="C24" s="60" t="n">
        <v>1</v>
      </c>
      <c r="D24" s="60" t="n">
        <v>0</v>
      </c>
      <c r="E24" s="59" t="inlineStr">
        <is>
          <t>WATER</t>
        </is>
      </c>
      <c r="F24" s="84" t="n">
        <v>44.196</v>
      </c>
      <c r="G24" s="84" t="n">
        <v>1</v>
      </c>
      <c r="H24" s="85">
        <f>(IF(F24&gt;0,C24*F24,C24*D24))*G24</f>
        <v/>
      </c>
      <c r="I24" s="85">
        <f>IF($E24=I$22,H24,0)</f>
        <v/>
      </c>
    </row>
    <row r="25">
      <c r="A25" s="56" t="inlineStr">
        <is>
          <t>note: linked to the Backup sheet as m x 3.28084 = LF</t>
        </is>
      </c>
      <c r="H25" s="86">
        <f>SUM(H24:H24)</f>
        <v/>
      </c>
      <c r="I25" s="86">
        <f>SUM(I24:I24)</f>
        <v/>
      </c>
    </row>
    <row r="26"/>
    <row r="27"/>
    <row r="28">
      <c r="A28" s="21" t="inlineStr">
        <is>
          <t>Sanitary sewer, 6 in, to main, including 2 manholes</t>
        </is>
      </c>
      <c r="F28" s="56" t="inlineStr">
        <is>
          <t>33 31 00 | sanitary sewer | C-201</t>
        </is>
      </c>
    </row>
    <row r="29">
      <c r="A29" s="56" t="inlineStr">
        <is>
          <t>Route length measured off the plan or riser. Vertical drops/risers entered as their own rows so the client can see and adjust them separately from horizontal runs. For an irregular shape, put the measured area/length in the 'measured directly' column and leave the dimension columns blank.</t>
        </is>
      </c>
    </row>
    <row r="30">
      <c r="A30" s="57" t="inlineStr">
        <is>
          <t>#</t>
        </is>
      </c>
      <c r="B30" s="57" t="inlineStr">
        <is>
          <t>Run / Segment</t>
        </is>
      </c>
      <c r="C30" s="57" t="inlineStr">
        <is>
          <t>No.</t>
        </is>
      </c>
      <c r="D30" s="57" t="inlineStr">
        <is>
          <t>Length each
(m)</t>
        </is>
      </c>
      <c r="E30" s="57" t="inlineStr">
        <is>
          <t>Size / Type</t>
        </is>
      </c>
      <c r="F30" s="57" t="inlineStr">
        <is>
          <t>Length (measured directly)
(m)</t>
        </is>
      </c>
      <c r="G30" s="57" t="inlineStr">
        <is>
          <t>Factor</t>
        </is>
      </c>
      <c r="H30" s="57" t="inlineStr">
        <is>
          <t>Length
(m)</t>
        </is>
      </c>
      <c r="I30" s="57" t="inlineStr">
        <is>
          <t>SEWER</t>
        </is>
      </c>
    </row>
    <row r="31">
      <c r="A31" s="56" t="inlineStr">
        <is>
          <t>edit →</t>
        </is>
      </c>
      <c r="B31" s="58" t="inlineStr">
        <is>
          <t>editable</t>
        </is>
      </c>
      <c r="C31" s="58" t="inlineStr">
        <is>
          <t>editable</t>
        </is>
      </c>
      <c r="D31" s="58" t="inlineStr">
        <is>
          <t>editable</t>
        </is>
      </c>
      <c r="E31" s="58" t="inlineStr">
        <is>
          <t>editable</t>
        </is>
      </c>
      <c r="F31" s="58" t="inlineStr">
        <is>
          <t>editable</t>
        </is>
      </c>
      <c r="G31" s="58" t="inlineStr">
        <is>
          <t>editable</t>
        </is>
      </c>
      <c r="H31" s="58" t="inlineStr">
        <is>
          <t>formula</t>
        </is>
      </c>
      <c r="I31" s="58" t="inlineStr">
        <is>
          <t>formula</t>
        </is>
      </c>
    </row>
    <row r="32">
      <c r="A32" s="56" t="n">
        <v>1</v>
      </c>
      <c r="B32" s="59" t="inlineStr">
        <is>
          <t>Sanitary sewer, C-201 keynote 2</t>
        </is>
      </c>
      <c r="C32" s="60" t="n">
        <v>1</v>
      </c>
      <c r="D32" s="60" t="n">
        <v>0</v>
      </c>
      <c r="E32" s="59" t="inlineStr">
        <is>
          <t>SEWER</t>
        </is>
      </c>
      <c r="F32" s="84" t="n">
        <v>67.056</v>
      </c>
      <c r="G32" s="84" t="n">
        <v>1</v>
      </c>
      <c r="H32" s="85">
        <f>(IF(F32&gt;0,C32*F32,C32*D32))*G32</f>
        <v/>
      </c>
      <c r="I32" s="85">
        <f>IF($E32=I$30,H32,0)</f>
        <v/>
      </c>
    </row>
    <row r="33">
      <c r="A33" s="56" t="inlineStr">
        <is>
          <t>note: linked to the Backup sheet as m x 3.28084 = LF</t>
        </is>
      </c>
      <c r="H33" s="86">
        <f>SUM(H32:H32)</f>
        <v/>
      </c>
      <c r="I33" s="86">
        <f>SUM(I32:I32)</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7.xml><?xml version="1.0" encoding="utf-8"?>
<worksheet xmlns="http://schemas.openxmlformats.org/spreadsheetml/2006/main">
  <sheetPr>
    <outlinePr summaryBelow="1" summaryRight="1"/>
    <pageSetUpPr fitToPage="1"/>
  </sheetPr>
  <dimension ref="A1:S7"/>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HVAC</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'Backup-HVAC'!B4</f>
        <v/>
      </c>
      <c r="C4" s="17">
        <f>'Backup-HVAC'!C4</f>
        <v/>
      </c>
      <c r="D4" s="24">
        <f>'Backup-HVAC'!D4</f>
        <v/>
      </c>
      <c r="E4" s="44" t="n"/>
      <c r="F4" s="44" t="n"/>
      <c r="G4" s="24">
        <f>IF(D4="","",D4*(N(E4)+N(F4)*PREVWAGE*DFACTOR))</f>
        <v/>
      </c>
      <c r="H4" s="17">
        <f>'Backup-HVAC'!F4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A5" s="17" t="n">
        <v>2</v>
      </c>
      <c r="B5" s="18">
        <f>'Backup-HVAC'!B5</f>
        <v/>
      </c>
      <c r="C5" s="17">
        <f>'Backup-HVAC'!C5</f>
        <v/>
      </c>
      <c r="D5" s="24">
        <f>'Backup-HVAC'!D5</f>
        <v/>
      </c>
      <c r="E5" s="44" t="n"/>
      <c r="F5" s="47" t="n"/>
      <c r="G5" s="24">
        <f>IF(D5="","",D5*(N(E5)+N(F5)*PREVWAGE*DFACTOR))</f>
        <v/>
      </c>
      <c r="H5" s="17">
        <f>'Backup-HVAC'!F5</f>
        <v/>
      </c>
      <c r="I5" s="49">
        <f>MATLOSS</f>
        <v/>
      </c>
      <c r="J5" s="49">
        <f>MATMARKUP</f>
        <v/>
      </c>
      <c r="K5" s="49">
        <f>LABMARKUP</f>
        <v/>
      </c>
      <c r="L5" s="24">
        <f>IF(N(E5)=0,0,ROUND(E5*(1+J5),2))</f>
        <v/>
      </c>
      <c r="M5" s="24">
        <f>IF(N(F5)=0,0,ROUND(F5*PREVWAGE*DFACTOR*(1+K5),2))</f>
        <v/>
      </c>
      <c r="N5" s="24">
        <f>IF(D5="","",ROUND(D5*(1+N(I5))*(N(L5)+N(M5)),2))</f>
        <v/>
      </c>
      <c r="O5" s="24">
        <f>IF(D5="","",N(N5)-N(G5))</f>
        <v/>
      </c>
      <c r="P5" s="29" t="n">
        <v>133.52</v>
      </c>
      <c r="Q5" s="29" t="n">
        <v>387.77</v>
      </c>
      <c r="R5" s="50" t="inlineStr">
        <is>
          <t>THANCHOR-US-1219</t>
        </is>
      </c>
      <c r="S5" s="66" t="inlineStr">
        <is>
          <t>LABOUR ONLY — material/equipment NOT included</t>
        </is>
      </c>
    </row>
    <row r="6">
      <c r="A6" s="17" t="n">
        <v>3</v>
      </c>
      <c r="B6" s="18">
        <f>'Backup-HVAC'!B6</f>
        <v/>
      </c>
      <c r="C6" s="17">
        <f>'Backup-HVAC'!C6</f>
        <v/>
      </c>
      <c r="D6" s="24">
        <f>'Backup-HVAC'!D6</f>
        <v/>
      </c>
      <c r="E6" s="44" t="n"/>
      <c r="F6" s="44" t="n"/>
      <c r="G6" s="24">
        <f>IF(D6="","",D6*(N(E6)+N(F6)*PREVWAGE*DFACTOR))</f>
        <v/>
      </c>
      <c r="H6" s="17">
        <f>'Backup-HVAC'!F6</f>
        <v/>
      </c>
      <c r="I6" s="49">
        <f>MATLOSS</f>
        <v/>
      </c>
      <c r="J6" s="49">
        <f>MATMARKUP</f>
        <v/>
      </c>
      <c r="K6" s="49">
        <f>LABMARKUP</f>
        <v/>
      </c>
      <c r="L6" s="24">
        <f>IF(N(E6)=0,0,ROUND(E6*(1+J6),2))</f>
        <v/>
      </c>
      <c r="M6" s="24">
        <f>IF(N(F6)=0,0,ROUND(F6*PREVWAGE*DFACTOR*(1+K6),2))</f>
        <v/>
      </c>
      <c r="N6" s="24">
        <f>IF(D6="","",ROUND(D6*(1+N(I6))*(N(L6)+N(M6)),2))</f>
        <v/>
      </c>
      <c r="O6" s="24">
        <f>IF(D6="","",N(N6)-N(G6))</f>
        <v/>
      </c>
      <c r="P6" s="24" t="n"/>
      <c r="Q6" s="24" t="n"/>
      <c r="R6" s="17" t="n"/>
      <c r="S6" s="18" t="n"/>
    </row>
    <row r="7">
      <c r="B7" s="25" t="inlineStr">
        <is>
          <t>HVAC — Direct Subtotal</t>
        </is>
      </c>
      <c r="G7" s="48">
        <f>SUM(G4:G6)</f>
        <v/>
      </c>
      <c r="N7" s="48">
        <f>SUM(N4:N6)</f>
        <v/>
      </c>
      <c r="O7" s="48">
        <f>SUM(O4:O6)</f>
        <v/>
      </c>
      <c r="P7" s="54">
        <f>SUMPRODUCT(D4:D6,P4:P6)</f>
        <v/>
      </c>
      <c r="Q7" s="54">
        <f>SUMPRODUCT(D4:D6,Q4:Q6)</f>
        <v/>
      </c>
      <c r="R7"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8.xml><?xml version="1.0" encoding="utf-8"?>
<worksheet xmlns="http://schemas.openxmlformats.org/spreadsheetml/2006/main">
  <sheetPr>
    <outlinePr summaryBelow="1" summaryRight="1"/>
    <pageSetUpPr fitToPage="1"/>
  </sheetPr>
  <dimension ref="A1:I6"/>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HVAC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Rooftop unit, 7.5 ton gas/electric, with curb</t>
        </is>
      </c>
      <c r="C4" s="17" t="inlineStr">
        <is>
          <t>EA</t>
        </is>
      </c>
      <c r="D4" s="24">
        <f>'Calc-HVAC'!I9</f>
        <v/>
      </c>
      <c r="E4" s="17" t="inlineStr">
        <is>
          <t>P-101</t>
        </is>
      </c>
      <c r="F4" s="17" t="n">
        <v>1</v>
      </c>
      <c r="G4" s="18" t="inlineStr">
        <is>
          <t>Unit size is scheduled; the curb is assumed to come with the unit.</t>
        </is>
      </c>
      <c r="H4" s="18" t="inlineStr">
        <is>
          <t>None</t>
        </is>
      </c>
      <c r="I4" s="18" t="inlineStr">
        <is>
          <t>23 74 13</t>
        </is>
      </c>
    </row>
    <row r="5">
      <c r="A5" s="17" t="n">
        <v>2</v>
      </c>
      <c r="B5" s="18" t="inlineStr">
        <is>
          <t>Exhaust fan, roof mounted</t>
        </is>
      </c>
      <c r="C5" s="17" t="inlineStr">
        <is>
          <t>EA</t>
        </is>
      </c>
      <c r="D5" s="24">
        <f>'Calc-HVAC'!I16</f>
        <v/>
      </c>
      <c r="E5" s="17" t="inlineStr">
        <is>
          <t>P-101</t>
        </is>
      </c>
      <c r="F5" s="17" t="n">
        <v>1</v>
      </c>
      <c r="G5" s="18" t="inlineStr">
        <is>
          <t>Straight off the schedule.</t>
        </is>
      </c>
      <c r="H5" s="18" t="inlineStr">
        <is>
          <t>None</t>
        </is>
      </c>
      <c r="I5" s="18" t="inlineStr">
        <is>
          <t>23 34 00</t>
        </is>
      </c>
    </row>
    <row r="6">
      <c r="A6" s="17" t="n">
        <v>3</v>
      </c>
      <c r="B6" s="18" t="inlineStr">
        <is>
          <t>Kitchen extract hood, 10 ft, with fire suppression</t>
        </is>
      </c>
      <c r="C6" s="17" t="inlineStr">
        <is>
          <t>EA</t>
        </is>
      </c>
      <c r="D6" s="24">
        <f>'Calc-HVAC'!I23</f>
        <v/>
      </c>
      <c r="E6" s="17" t="inlineStr">
        <is>
          <t>P-101, G-002</t>
        </is>
      </c>
      <c r="F6" s="17" t="n">
        <v>1</v>
      </c>
      <c r="G6" s="18" t="inlineStr">
        <is>
          <t>In this contract; the rest of the kitchen equipment is owner furnished per G-002.</t>
        </is>
      </c>
      <c r="H6" s="18" t="inlineStr">
        <is>
          <t>None</t>
        </is>
      </c>
      <c r="I6" s="18" t="inlineStr">
        <is>
          <t>11 40 00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19.xml><?xml version="1.0" encoding="utf-8"?>
<worksheet xmlns="http://schemas.openxmlformats.org/spreadsheetml/2006/main">
  <sheetPr>
    <tabColor rgb="001F4E5F"/>
    <outlinePr summaryBelow="1" summaryRight="1"/>
    <pageSetUpPr fitToPage="1"/>
  </sheetPr>
  <dimension ref="A1:J23"/>
  <sheetViews>
    <sheetView showGridLines="0" workbookViewId="0">
      <pane ySplit="3" topLeftCell="A4" activePane="bottomLeft" state="frozen"/>
      <selection pane="bottomLeft" activeCell="A1" sqref="A1"/>
    </sheetView>
  </sheetViews>
  <sheetFormatPr baseColWidth="8" defaultRowHeight="15"/>
  <cols>
    <col width="32" customWidth="1" min="2" max="2"/>
    <col width="12" customWidth="1" min="3" max="3"/>
    <col width="9" customWidth="1" min="4" max="4"/>
    <col width="9" customWidth="1" min="5" max="5"/>
    <col width="10" customWidth="1" min="6" max="6"/>
    <col width="8" customWidth="1" min="7" max="7"/>
    <col width="34" customWidth="1" min="8" max="8"/>
    <col width="12" customWidth="1" min="9" max="9"/>
    <col width="12" customWidth="1" min="10" max="10"/>
  </cols>
  <sheetData>
    <row r="1">
      <c r="A1" s="55" t="inlineStr">
        <is>
          <t>Calculation sheet — HVAC</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Rooftop unit, 7.5 ton gas/electric, with curb</t>
        </is>
      </c>
      <c r="G4" s="56" t="inlineStr">
        <is>
          <t>23 74 13 | rooftop units | P-101</t>
        </is>
      </c>
    </row>
    <row r="5">
      <c r="A5"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6">
      <c r="A6" s="57" t="inlineStr">
        <is>
          <t>#</t>
        </is>
      </c>
      <c r="B6" s="57" t="inlineStr">
        <is>
          <t>Type / Location</t>
        </is>
      </c>
      <c r="C6" s="57" t="inlineStr">
        <is>
          <t>Type mark</t>
        </is>
      </c>
      <c r="D6" s="57" t="inlineStr">
        <is>
          <t>Width
(m)</t>
        </is>
      </c>
      <c r="E6" s="57" t="inlineStr">
        <is>
          <t>Height
(m)</t>
        </is>
      </c>
      <c r="F6" s="57" t="inlineStr">
        <is>
          <t>Per unit</t>
        </is>
      </c>
      <c r="G6" s="57" t="inlineStr">
        <is>
          <t>No.</t>
        </is>
      </c>
      <c r="H6" s="57" t="inlineStr">
        <is>
          <t>Basis / Source</t>
        </is>
      </c>
      <c r="I6" s="57" t="inlineStr">
        <is>
          <t>Quantity
(ea)</t>
        </is>
      </c>
      <c r="J6" s="57" t="inlineStr">
        <is>
          <t>Leaf area
(m2)</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editable</t>
        </is>
      </c>
      <c r="I7" s="58" t="inlineStr">
        <is>
          <t>formula</t>
        </is>
      </c>
      <c r="J7" s="58" t="inlineStr">
        <is>
          <t>formula</t>
        </is>
      </c>
    </row>
    <row r="8">
      <c r="A8" s="56" t="n">
        <v>1</v>
      </c>
      <c r="B8" s="59" t="inlineStr">
        <is>
          <t>2 no. scheduled on P-101</t>
        </is>
      </c>
      <c r="C8" s="59" t="n"/>
      <c r="D8" s="60" t="n"/>
      <c r="E8" s="60" t="n"/>
      <c r="F8" s="60" t="n">
        <v>1</v>
      </c>
      <c r="G8" s="60" t="n">
        <v>2</v>
      </c>
      <c r="H8" s="59" t="n"/>
      <c r="I8" s="85">
        <f>G8*F8</f>
        <v/>
      </c>
      <c r="J8" s="85">
        <f>G8*D8*E8</f>
        <v/>
      </c>
    </row>
    <row r="9">
      <c r="A9" s="64" t="inlineStr">
        <is>
          <t>TOTAL</t>
        </is>
      </c>
      <c r="I9" s="86">
        <f>SUM(I8:I8)</f>
        <v/>
      </c>
      <c r="J9" s="86">
        <f>SUM(J8:J8)</f>
        <v/>
      </c>
    </row>
    <row r="10"/>
    <row r="11">
      <c r="A11" s="21" t="inlineStr">
        <is>
          <t>Exhaust fan, roof mounted</t>
        </is>
      </c>
      <c r="G11" s="56" t="inlineStr">
        <is>
          <t>23 34 00 | fans | P-101</t>
        </is>
      </c>
    </row>
    <row r="12">
      <c r="A12"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13">
      <c r="A13" s="57" t="inlineStr">
        <is>
          <t>#</t>
        </is>
      </c>
      <c r="B13" s="57" t="inlineStr">
        <is>
          <t>Type / Location</t>
        </is>
      </c>
      <c r="C13" s="57" t="inlineStr">
        <is>
          <t>Type mark</t>
        </is>
      </c>
      <c r="D13" s="57" t="inlineStr">
        <is>
          <t>Width
(m)</t>
        </is>
      </c>
      <c r="E13" s="57" t="inlineStr">
        <is>
          <t>Height
(m)</t>
        </is>
      </c>
      <c r="F13" s="57" t="inlineStr">
        <is>
          <t>Per unit</t>
        </is>
      </c>
      <c r="G13" s="57" t="inlineStr">
        <is>
          <t>No.</t>
        </is>
      </c>
      <c r="H13" s="57" t="inlineStr">
        <is>
          <t>Basis / Source</t>
        </is>
      </c>
      <c r="I13" s="57" t="inlineStr">
        <is>
          <t>Quantity
(ea)</t>
        </is>
      </c>
      <c r="J13" s="57" t="inlineStr">
        <is>
          <t>Leaf area
(m2)</t>
        </is>
      </c>
    </row>
    <row r="14">
      <c r="A14" s="56" t="inlineStr">
        <is>
          <t>edit →</t>
        </is>
      </c>
      <c r="B14" s="58" t="inlineStr">
        <is>
          <t>editable</t>
        </is>
      </c>
      <c r="C14" s="58" t="inlineStr">
        <is>
          <t>editable</t>
        </is>
      </c>
      <c r="D14" s="58" t="inlineStr">
        <is>
          <t>editable</t>
        </is>
      </c>
      <c r="E14" s="58" t="inlineStr">
        <is>
          <t>editable</t>
        </is>
      </c>
      <c r="F14" s="58" t="inlineStr">
        <is>
          <t>editable</t>
        </is>
      </c>
      <c r="G14" s="58" t="inlineStr">
        <is>
          <t>editable</t>
        </is>
      </c>
      <c r="H14" s="58" t="inlineStr">
        <is>
          <t>editable</t>
        </is>
      </c>
      <c r="I14" s="58" t="inlineStr">
        <is>
          <t>formula</t>
        </is>
      </c>
      <c r="J14" s="58" t="inlineStr">
        <is>
          <t>formula</t>
        </is>
      </c>
    </row>
    <row r="15">
      <c r="A15" s="56" t="n">
        <v>1</v>
      </c>
      <c r="B15" s="59" t="inlineStr">
        <is>
          <t>3 no. scheduled on P-101</t>
        </is>
      </c>
      <c r="C15" s="59" t="n"/>
      <c r="D15" s="60" t="n"/>
      <c r="E15" s="60" t="n"/>
      <c r="F15" s="60" t="n">
        <v>1</v>
      </c>
      <c r="G15" s="60" t="n">
        <v>3</v>
      </c>
      <c r="H15" s="59" t="n"/>
      <c r="I15" s="85">
        <f>G15*F15</f>
        <v/>
      </c>
      <c r="J15" s="85">
        <f>G15*D15*E15</f>
        <v/>
      </c>
    </row>
    <row r="16">
      <c r="A16" s="64" t="inlineStr">
        <is>
          <t>TOTAL</t>
        </is>
      </c>
      <c r="I16" s="86">
        <f>SUM(I15:I15)</f>
        <v/>
      </c>
      <c r="J16" s="86">
        <f>SUM(J15:J15)</f>
        <v/>
      </c>
    </row>
    <row r="17"/>
    <row r="18">
      <c r="A18" s="21" t="inlineStr">
        <is>
          <t>Kitchen extract hood, 10 ft, with fire suppression</t>
        </is>
      </c>
      <c r="G18" s="56" t="inlineStr">
        <is>
          <t>11 40 00 | food service | P-101, G-002</t>
        </is>
      </c>
    </row>
    <row r="19">
      <c r="A19"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0">
      <c r="A20" s="57" t="inlineStr">
        <is>
          <t>#</t>
        </is>
      </c>
      <c r="B20" s="57" t="inlineStr">
        <is>
          <t>Type / Location</t>
        </is>
      </c>
      <c r="C20" s="57" t="inlineStr">
        <is>
          <t>Type mark</t>
        </is>
      </c>
      <c r="D20" s="57" t="inlineStr">
        <is>
          <t>Width
(m)</t>
        </is>
      </c>
      <c r="E20" s="57" t="inlineStr">
        <is>
          <t>Height
(m)</t>
        </is>
      </c>
      <c r="F20" s="57" t="inlineStr">
        <is>
          <t>Per unit</t>
        </is>
      </c>
      <c r="G20" s="57" t="inlineStr">
        <is>
          <t>No.</t>
        </is>
      </c>
      <c r="H20" s="57" t="inlineStr">
        <is>
          <t>Basis / Source</t>
        </is>
      </c>
      <c r="I20" s="57" t="inlineStr">
        <is>
          <t>Quantity
(ea)</t>
        </is>
      </c>
      <c r="J20" s="57" t="inlineStr">
        <is>
          <t>Leaf area
(m2)</t>
        </is>
      </c>
    </row>
    <row r="21">
      <c r="A21" s="56" t="inlineStr">
        <is>
          <t>edit →</t>
        </is>
      </c>
      <c r="B21" s="58" t="inlineStr">
        <is>
          <t>editable</t>
        </is>
      </c>
      <c r="C21" s="58" t="inlineStr">
        <is>
          <t>editable</t>
        </is>
      </c>
      <c r="D21" s="58" t="inlineStr">
        <is>
          <t>editable</t>
        </is>
      </c>
      <c r="E21" s="58" t="inlineStr">
        <is>
          <t>editable</t>
        </is>
      </c>
      <c r="F21" s="58" t="inlineStr">
        <is>
          <t>editable</t>
        </is>
      </c>
      <c r="G21" s="58" t="inlineStr">
        <is>
          <t>editable</t>
        </is>
      </c>
      <c r="H21" s="58" t="inlineStr">
        <is>
          <t>editable</t>
        </is>
      </c>
      <c r="I21" s="58" t="inlineStr">
        <is>
          <t>formula</t>
        </is>
      </c>
      <c r="J21" s="58" t="inlineStr">
        <is>
          <t>formula</t>
        </is>
      </c>
    </row>
    <row r="22">
      <c r="A22" s="56" t="n">
        <v>1</v>
      </c>
      <c r="B22" s="59" t="inlineStr">
        <is>
          <t>1 no. scheduled on P-101</t>
        </is>
      </c>
      <c r="C22" s="59" t="n"/>
      <c r="D22" s="60" t="n"/>
      <c r="E22" s="60" t="n"/>
      <c r="F22" s="60" t="n">
        <v>1</v>
      </c>
      <c r="G22" s="60" t="n">
        <v>1</v>
      </c>
      <c r="H22" s="59" t="n"/>
      <c r="I22" s="85">
        <f>G22*F22</f>
        <v/>
      </c>
      <c r="J22" s="85">
        <f>G22*D22*E22</f>
        <v/>
      </c>
    </row>
    <row r="23">
      <c r="A23" s="64" t="inlineStr">
        <is>
          <t>TOTAL</t>
        </is>
      </c>
      <c r="I23" s="86">
        <f>SUM(I22:I22)</f>
        <v/>
      </c>
      <c r="J23" s="86">
        <f>SUM(J22:J22)</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F55"/>
  <sheetViews>
    <sheetView workbookViewId="0">
      <selection activeCell="A1" sqref="A1"/>
    </sheetView>
  </sheetViews>
  <sheetFormatPr baseColWidth="8" defaultRowHeight="15"/>
  <cols>
    <col width="5" customWidth="1" min="1" max="1"/>
    <col width="22" customWidth="1" min="2" max="2"/>
    <col width="22" customWidth="1" min="3" max="3"/>
    <col width="22" customWidth="1" min="4" max="4"/>
    <col width="22" customWidth="1" min="5" max="5"/>
    <col width="22" customWidth="1" min="6" max="6"/>
  </cols>
  <sheetData>
    <row r="1">
      <c r="A1" s="8" t="inlineStr">
        <is>
          <t>Price It In 3 Steps</t>
        </is>
      </c>
    </row>
    <row r="2"/>
    <row r="3">
      <c r="A3" s="9" t="inlineStr">
        <is>
          <t>1</t>
        </is>
      </c>
      <c r="B3" s="10" t="inlineStr">
        <is>
          <t>Fill in the YELLOW Unit Cost cells</t>
        </is>
      </c>
    </row>
    <row r="4">
      <c r="B4" s="11" t="inlineStr">
        <is>
          <t>Open each Takeoff sheet. Enter your material and labor unit costs in the yellow cells. Skip lines you self-perform differently — everything recalculates.</t>
        </is>
      </c>
    </row>
    <row r="5"/>
    <row r="6"/>
    <row r="7">
      <c r="A7" s="9" t="inlineStr">
        <is>
          <t>2</t>
        </is>
      </c>
      <c r="B7" s="10" t="inlineStr">
        <is>
          <t>Adjust Settings</t>
        </is>
      </c>
    </row>
    <row r="8">
      <c r="B8" s="11" t="inlineStr">
        <is>
          <t>Open Settings: waste %, material/labor markup %, overhead %, tax %. One change flows everywhere. Set your job duration in Indirect Cost.</t>
        </is>
      </c>
    </row>
    <row r="9"/>
    <row r="10"/>
    <row r="11">
      <c r="A11" s="9" t="inlineStr">
        <is>
          <t>3</t>
        </is>
      </c>
      <c r="B11" s="10" t="inlineStr">
        <is>
          <t>Use the numbers</t>
        </is>
      </c>
    </row>
    <row r="12">
      <c r="B12" s="11" t="inlineStr">
        <is>
          <t>This is a GUIDELINE PACKAGE — there is no quotation or client-bill sheet in this file, on purpose: the rates here are reference bands, not an offer. Take your priced Takeoff sheets and Quote Summary into your own bid documents. Check the Confidence Report first.</t>
        </is>
      </c>
    </row>
    <row r="13"/>
    <row r="14"/>
    <row r="15"/>
    <row r="16">
      <c r="B16" s="11" t="inlineStr">
        <is>
          <t>Quantities were measured neat-line from the drawings listed in each Backup sheet. Waste/lap factors are NOT embedded — apply your own practice.</t>
        </is>
      </c>
    </row>
    <row r="17"/>
    <row r="18"/>
    <row r="19">
      <c r="B19" s="10" t="inlineStr">
        <is>
          <t>What's in this workbook</t>
        </is>
      </c>
    </row>
    <row r="20">
      <c r="A20" s="12" t="n">
        <v>1</v>
      </c>
      <c r="B20" s="13" t="inlineStr">
        <is>
          <t>Cover</t>
        </is>
      </c>
      <c r="C20" t="inlineStr">
        <is>
          <t>Project identity, revision record, first-draft disclaimer</t>
        </is>
      </c>
    </row>
    <row r="21">
      <c r="A21" s="12" t="n">
        <v>2</v>
      </c>
      <c r="B21" s="13" t="inlineStr">
        <is>
          <t>Basis of Measurement</t>
        </is>
      </c>
      <c r="C21" t="inlineStr">
        <is>
          <t>The measurement rules behind every quantity — read before using the numbers</t>
        </is>
      </c>
    </row>
    <row r="22">
      <c r="A22" s="12" t="n">
        <v>3</v>
      </c>
      <c r="B22" s="13" t="inlineStr">
        <is>
          <t>Dashboard</t>
        </is>
      </c>
      <c r="C22" t="inlineStr">
        <is>
          <t>KPIs, cost-by-trade chart, indicative range (if baselines supplied)</t>
        </is>
      </c>
    </row>
    <row r="23">
      <c r="A23" s="12" t="n">
        <v>4</v>
      </c>
      <c r="B23" s="13" t="inlineStr">
        <is>
          <t>Settings</t>
        </is>
      </c>
      <c r="C23" t="inlineStr">
        <is>
          <t>Overhead / markup / tax — one place, flows everywhere</t>
        </is>
      </c>
    </row>
    <row r="24">
      <c r="A24" s="12" t="n">
        <v>5</v>
      </c>
      <c r="B24" s="13" t="inlineStr">
        <is>
          <t>Quote Summary</t>
        </is>
      </c>
      <c r="C24" t="inlineStr">
        <is>
          <t>YOUR costs, markup and margin in one place — working sheet, not a document to send</t>
        </is>
      </c>
    </row>
    <row r="25">
      <c r="A25" s="12" t="n">
        <v>6</v>
      </c>
      <c r="B25" s="13" t="inlineStr">
        <is>
          <t>Indirect Cost</t>
        </is>
      </c>
      <c r="C25" t="inlineStr">
        <is>
          <t>Duration-driven general conditions</t>
        </is>
      </c>
    </row>
    <row r="26">
      <c r="A26" s="12" t="n">
        <v>7</v>
      </c>
      <c r="B26" s="13" t="inlineStr">
        <is>
          <t>Takeoff-Architectural</t>
        </is>
      </c>
      <c r="C26" t="inlineStr">
        <is>
          <t>Quantities + your yellow cost cells (+ blue baseline references; an AMBER baseline is one we do not stand behind — replace those first)</t>
        </is>
      </c>
    </row>
    <row r="27">
      <c r="A27" s="12" t="n">
        <v>8</v>
      </c>
      <c r="B27" s="13" t="inlineStr">
        <is>
          <t>Backup-Architectural</t>
        </is>
      </c>
      <c r="C27" t="inlineStr">
        <is>
          <t>Source of truth: every quantity with drawing ref, dual units, category code</t>
        </is>
      </c>
    </row>
    <row r="28">
      <c r="A28" s="12" t="n">
        <v>9</v>
      </c>
      <c r="B28" s="13" t="inlineStr">
        <is>
          <t>Calc-Architectural</t>
        </is>
      </c>
      <c r="C28" t="inlineStr">
        <is>
          <t>Calculation tables: the dimensions and formulas behind each quantity — edit any input cell and the quantity, its Backup line and the price all follow</t>
        </is>
      </c>
    </row>
    <row r="29">
      <c r="A29" s="12" t="n">
        <v>10</v>
      </c>
      <c r="B29" s="13" t="inlineStr">
        <is>
          <t>Takeoff-Electrical</t>
        </is>
      </c>
      <c r="C29" t="inlineStr">
        <is>
          <t>Quantities + your yellow cost cells (+ blue baseline references; an AMBER baseline is one we do not stand behind — replace those first)</t>
        </is>
      </c>
    </row>
    <row r="30">
      <c r="A30" s="12" t="n">
        <v>11</v>
      </c>
      <c r="B30" s="13" t="inlineStr">
        <is>
          <t>Backup-Electrical</t>
        </is>
      </c>
      <c r="C30" t="inlineStr">
        <is>
          <t>Source of truth: every quantity with drawing ref, dual units, category code</t>
        </is>
      </c>
    </row>
    <row r="31">
      <c r="A31" s="12" t="n">
        <v>12</v>
      </c>
      <c r="B31" s="13" t="inlineStr">
        <is>
          <t>Calc-Electrical</t>
        </is>
      </c>
      <c r="C31" t="inlineStr">
        <is>
          <t>Calculation tables: the dimensions and formulas behind each quantity — edit any input cell and the quantity, its Backup line and the price all follow</t>
        </is>
      </c>
    </row>
    <row r="32">
      <c r="A32" s="12" t="n">
        <v>13</v>
      </c>
      <c r="B32" s="13" t="inlineStr">
        <is>
          <t>Takeoff-External</t>
        </is>
      </c>
      <c r="C32" t="inlineStr">
        <is>
          <t>Quantities + your yellow cost cells (+ blue baseline references; an AMBER baseline is one we do not stand behind — replace those first)</t>
        </is>
      </c>
    </row>
    <row r="33">
      <c r="A33" s="12" t="n">
        <v>14</v>
      </c>
      <c r="B33" s="13" t="inlineStr">
        <is>
          <t>Backup-External</t>
        </is>
      </c>
      <c r="C33" t="inlineStr">
        <is>
          <t>Source of truth: every quantity with drawing ref, dual units, category code</t>
        </is>
      </c>
    </row>
    <row r="34">
      <c r="A34" s="12" t="n">
        <v>15</v>
      </c>
      <c r="B34" s="13" t="inlineStr">
        <is>
          <t>Calc-External</t>
        </is>
      </c>
      <c r="C34" t="inlineStr">
        <is>
          <t>Calculation tables: the dimensions and formulas behind each quantity — edit any input cell and the quantity, its Backup line and the price all follow</t>
        </is>
      </c>
    </row>
    <row r="35">
      <c r="A35" s="12" t="n">
        <v>16</v>
      </c>
      <c r="B35" s="13" t="inlineStr">
        <is>
          <t>Takeoff-HVAC</t>
        </is>
      </c>
      <c r="C35" t="inlineStr">
        <is>
          <t>Quantities + your yellow cost cells (+ blue baseline references; an AMBER baseline is one we do not stand behind — replace those first)</t>
        </is>
      </c>
    </row>
    <row r="36">
      <c r="A36" s="12" t="n">
        <v>17</v>
      </c>
      <c r="B36" s="13" t="inlineStr">
        <is>
          <t>Backup-HVAC</t>
        </is>
      </c>
      <c r="C36" t="inlineStr">
        <is>
          <t>Source of truth: every quantity with drawing ref, dual units, category code</t>
        </is>
      </c>
    </row>
    <row r="37">
      <c r="A37" s="12" t="n">
        <v>18</v>
      </c>
      <c r="B37" s="13" t="inlineStr">
        <is>
          <t>Calc-HVAC</t>
        </is>
      </c>
      <c r="C37" t="inlineStr">
        <is>
          <t>Calculation tables: the dimensions and formulas behind each quantity — edit any input cell and the quantity, its Backup line and the price all follow</t>
        </is>
      </c>
    </row>
    <row r="38">
      <c r="A38" s="12" t="n">
        <v>19</v>
      </c>
      <c r="B38" s="13" t="inlineStr">
        <is>
          <t>Takeoff-Interior</t>
        </is>
      </c>
      <c r="C38" t="inlineStr">
        <is>
          <t>Quantities + your yellow cost cells (+ blue baseline references; an AMBER baseline is one we do not stand behind — replace those first)</t>
        </is>
      </c>
    </row>
    <row r="39">
      <c r="A39" s="12" t="n">
        <v>20</v>
      </c>
      <c r="B39" s="13" t="inlineStr">
        <is>
          <t>Backup-Interior</t>
        </is>
      </c>
      <c r="C39" t="inlineStr">
        <is>
          <t>Source of truth: every quantity with drawing ref, dual units, category code</t>
        </is>
      </c>
    </row>
    <row r="40">
      <c r="A40" s="12" t="n">
        <v>21</v>
      </c>
      <c r="B40" s="13" t="inlineStr">
        <is>
          <t>Calc-Interior</t>
        </is>
      </c>
      <c r="C40" t="inlineStr">
        <is>
          <t>Calculation tables: the dimensions and formulas behind each quantity — edit any input cell and the quantity, its Backup line and the price all follow</t>
        </is>
      </c>
    </row>
    <row r="41">
      <c r="A41" s="12" t="n">
        <v>22</v>
      </c>
      <c r="B41" s="13" t="inlineStr">
        <is>
          <t>Takeoff-Plumbing</t>
        </is>
      </c>
      <c r="C41" t="inlineStr">
        <is>
          <t>Quantities + your yellow cost cells (+ blue baseline references; an AMBER baseline is one we do not stand behind — replace those first)</t>
        </is>
      </c>
    </row>
    <row r="42">
      <c r="A42" s="12" t="n">
        <v>23</v>
      </c>
      <c r="B42" s="13" t="inlineStr">
        <is>
          <t>Backup-Plumbing</t>
        </is>
      </c>
      <c r="C42" t="inlineStr">
        <is>
          <t>Source of truth: every quantity with drawing ref, dual units, category code</t>
        </is>
      </c>
    </row>
    <row r="43">
      <c r="A43" s="12" t="n">
        <v>24</v>
      </c>
      <c r="B43" s="13" t="inlineStr">
        <is>
          <t>Calc-Plumbing</t>
        </is>
      </c>
      <c r="C43" t="inlineStr">
        <is>
          <t>Calculation tables: the dimensions and formulas behind each quantity — edit any input cell and the quantity, its Backup line and the price all follow</t>
        </is>
      </c>
    </row>
    <row r="44">
      <c r="A44" s="12" t="n">
        <v>25</v>
      </c>
      <c r="B44" s="13" t="inlineStr">
        <is>
          <t>Takeoff-Preliminaries</t>
        </is>
      </c>
      <c r="C44" t="inlineStr">
        <is>
          <t>Quantities + your yellow cost cells (+ blue baseline references; an AMBER baseline is one we do not stand behind — replace those first)</t>
        </is>
      </c>
    </row>
    <row r="45">
      <c r="A45" s="12" t="n">
        <v>26</v>
      </c>
      <c r="B45" s="13" t="inlineStr">
        <is>
          <t>Backup-Preliminaries</t>
        </is>
      </c>
      <c r="C45" t="inlineStr">
        <is>
          <t>Source of truth: every quantity with drawing ref, dual units, category code</t>
        </is>
      </c>
    </row>
    <row r="46">
      <c r="A46" s="12" t="n">
        <v>27</v>
      </c>
      <c r="B46" s="13" t="inlineStr">
        <is>
          <t>Takeoff-Structural</t>
        </is>
      </c>
      <c r="C46" t="inlineStr">
        <is>
          <t>Quantities + your yellow cost cells (+ blue baseline references; an AMBER baseline is one we do not stand behind — replace those first)</t>
        </is>
      </c>
    </row>
    <row r="47">
      <c r="A47" s="12" t="n">
        <v>28</v>
      </c>
      <c r="B47" s="13" t="inlineStr">
        <is>
          <t>Backup-Structural</t>
        </is>
      </c>
      <c r="C47" t="inlineStr">
        <is>
          <t>Source of truth: every quantity with drawing ref, dual units, category code</t>
        </is>
      </c>
    </row>
    <row r="48">
      <c r="A48" s="12" t="n">
        <v>29</v>
      </c>
      <c r="B48" s="13" t="inlineStr">
        <is>
          <t>Calc-Structural</t>
        </is>
      </c>
      <c r="C48" t="inlineStr">
        <is>
          <t>Calculation tables: the dimensions and formulas behind each quantity — edit any input cell and the quantity, its Backup line and the price all follow</t>
        </is>
      </c>
    </row>
    <row r="49">
      <c r="A49" s="12" t="n">
        <v>30</v>
      </c>
      <c r="B49" s="13" t="inlineStr">
        <is>
          <t>Schedule &amp; S-Curve</t>
        </is>
      </c>
    </row>
    <row r="50">
      <c r="A50" s="12" t="n">
        <v>31</v>
      </c>
      <c r="B50" s="13" t="inlineStr">
        <is>
          <t>Your Pricing Checklist</t>
        </is>
      </c>
    </row>
    <row r="51">
      <c r="A51" s="12" t="n">
        <v>32</v>
      </c>
      <c r="B51" s="13" t="inlineStr">
        <is>
          <t>Division Summary</t>
        </is>
      </c>
      <c r="C51" t="inlineStr">
        <is>
          <t>Live rollup by CSI MasterFormat division (US jobs only — omitted otherwise)</t>
        </is>
      </c>
    </row>
    <row r="52">
      <c r="A52" s="12" t="n">
        <v>33</v>
      </c>
      <c r="B52" s="13" t="inlineStr">
        <is>
          <t>Pricing Basis</t>
        </is>
      </c>
      <c r="C52" t="inlineStr">
        <is>
          <t>Every baseline price source, method, and date (when baselines supplied)</t>
        </is>
      </c>
    </row>
    <row r="53">
      <c r="A53" s="12" t="n">
        <v>34</v>
      </c>
      <c r="B53" s="13" t="inlineStr">
        <is>
          <t>Confidence Report</t>
        </is>
      </c>
      <c r="C53" t="inlineStr">
        <is>
          <t>Grades, items to verify, exclusions, risks — read before committing</t>
        </is>
      </c>
    </row>
    <row r="54"/>
    <row r="55">
      <c r="B55" s="14" t="inlineStr">
        <is>
          <t>34 sheets in this workbook — click any name above to jump to it.</t>
        </is>
      </c>
    </row>
  </sheetData>
  <sheetProtection selectLockedCells="1" selectUnlockedCells="1" sheet="1" objects="0" insertRows="1" insertHyperlinks="1" autoFilter="1" scenarios="0" formatColumns="1" deleteColumns="1" insertColumns="1" pivotTables="1" deleteRows="1" formatCells="1" formatRows="1" sort="1"/>
  <mergeCells count="4">
    <mergeCell ref="B8:F9"/>
    <mergeCell ref="B16:F17"/>
    <mergeCell ref="B4:F5"/>
    <mergeCell ref="B12:F13"/>
  </mergeCells>
  <hyperlinks>
    <hyperlink xmlns:r="http://schemas.openxmlformats.org/officeDocument/2006/relationships" ref="B20" r:id="rId1"/>
    <hyperlink xmlns:r="http://schemas.openxmlformats.org/officeDocument/2006/relationships" ref="B21" r:id="rId2"/>
    <hyperlink xmlns:r="http://schemas.openxmlformats.org/officeDocument/2006/relationships" ref="B22" r:id="rId3"/>
    <hyperlink xmlns:r="http://schemas.openxmlformats.org/officeDocument/2006/relationships" ref="B23" r:id="rId4"/>
    <hyperlink xmlns:r="http://schemas.openxmlformats.org/officeDocument/2006/relationships" ref="B24" r:id="rId5"/>
    <hyperlink xmlns:r="http://schemas.openxmlformats.org/officeDocument/2006/relationships" ref="B25" r:id="rId6"/>
    <hyperlink xmlns:r="http://schemas.openxmlformats.org/officeDocument/2006/relationships" ref="B26" r:id="rId7"/>
    <hyperlink xmlns:r="http://schemas.openxmlformats.org/officeDocument/2006/relationships" ref="B27" r:id="rId8"/>
    <hyperlink xmlns:r="http://schemas.openxmlformats.org/officeDocument/2006/relationships" ref="B28" r:id="rId9"/>
    <hyperlink xmlns:r="http://schemas.openxmlformats.org/officeDocument/2006/relationships" ref="B29" r:id="rId10"/>
    <hyperlink xmlns:r="http://schemas.openxmlformats.org/officeDocument/2006/relationships" ref="B30" r:id="rId11"/>
    <hyperlink xmlns:r="http://schemas.openxmlformats.org/officeDocument/2006/relationships" ref="B31" r:id="rId12"/>
    <hyperlink xmlns:r="http://schemas.openxmlformats.org/officeDocument/2006/relationships" ref="B32" r:id="rId13"/>
    <hyperlink xmlns:r="http://schemas.openxmlformats.org/officeDocument/2006/relationships" ref="B33" r:id="rId14"/>
    <hyperlink xmlns:r="http://schemas.openxmlformats.org/officeDocument/2006/relationships" ref="B34" r:id="rId15"/>
    <hyperlink xmlns:r="http://schemas.openxmlformats.org/officeDocument/2006/relationships" ref="B35" r:id="rId16"/>
    <hyperlink xmlns:r="http://schemas.openxmlformats.org/officeDocument/2006/relationships" ref="B36" r:id="rId17"/>
    <hyperlink xmlns:r="http://schemas.openxmlformats.org/officeDocument/2006/relationships" ref="B37" r:id="rId18"/>
    <hyperlink xmlns:r="http://schemas.openxmlformats.org/officeDocument/2006/relationships" ref="B38" r:id="rId19"/>
    <hyperlink xmlns:r="http://schemas.openxmlformats.org/officeDocument/2006/relationships" ref="B39" r:id="rId20"/>
    <hyperlink xmlns:r="http://schemas.openxmlformats.org/officeDocument/2006/relationships" ref="B40" r:id="rId21"/>
    <hyperlink xmlns:r="http://schemas.openxmlformats.org/officeDocument/2006/relationships" ref="B41" r:id="rId22"/>
    <hyperlink xmlns:r="http://schemas.openxmlformats.org/officeDocument/2006/relationships" ref="B42" r:id="rId23"/>
    <hyperlink xmlns:r="http://schemas.openxmlformats.org/officeDocument/2006/relationships" ref="B43" r:id="rId24"/>
    <hyperlink xmlns:r="http://schemas.openxmlformats.org/officeDocument/2006/relationships" ref="B44" r:id="rId25"/>
    <hyperlink xmlns:r="http://schemas.openxmlformats.org/officeDocument/2006/relationships" ref="B45" r:id="rId26"/>
    <hyperlink xmlns:r="http://schemas.openxmlformats.org/officeDocument/2006/relationships" ref="B46" r:id="rId27"/>
    <hyperlink xmlns:r="http://schemas.openxmlformats.org/officeDocument/2006/relationships" ref="B47" r:id="rId28"/>
    <hyperlink xmlns:r="http://schemas.openxmlformats.org/officeDocument/2006/relationships" ref="B48" r:id="rId29"/>
    <hyperlink xmlns:r="http://schemas.openxmlformats.org/officeDocument/2006/relationships" ref="B49" r:id="rId30"/>
    <hyperlink xmlns:r="http://schemas.openxmlformats.org/officeDocument/2006/relationships" ref="B50" r:id="rId31"/>
    <hyperlink xmlns:r="http://schemas.openxmlformats.org/officeDocument/2006/relationships" ref="B51" r:id="rId32"/>
    <hyperlink xmlns:r="http://schemas.openxmlformats.org/officeDocument/2006/relationships" ref="B52" r:id="rId33"/>
    <hyperlink xmlns:r="http://schemas.openxmlformats.org/officeDocument/2006/relationships" ref="B53" r:id="rId34"/>
  </hyperlinks>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0.xml><?xml version="1.0" encoding="utf-8"?>
<worksheet xmlns="http://schemas.openxmlformats.org/spreadsheetml/2006/main">
  <sheetPr>
    <outlinePr summaryBelow="1" summaryRight="1"/>
    <pageSetUpPr fitToPage="1"/>
  </sheetPr>
  <dimension ref="A1:S15"/>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Interior</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'Backup-Interior'!B4</f>
        <v/>
      </c>
      <c r="C4" s="17">
        <f>'Backup-Interior'!C4</f>
        <v/>
      </c>
      <c r="D4" s="24">
        <f>'Backup-Interior'!D4</f>
        <v/>
      </c>
      <c r="E4" s="44" t="n"/>
      <c r="F4" s="44" t="n"/>
      <c r="G4" s="24">
        <f>IF(D4="","",D4*(N(E4)+N(F4)*PREVWAGE*DFACTOR))</f>
        <v/>
      </c>
      <c r="H4" s="17">
        <f>'Backup-Interior'!F4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A5" s="17" t="n">
        <v>2</v>
      </c>
      <c r="B5" s="18">
        <f>'Backup-Interior'!B5</f>
        <v/>
      </c>
      <c r="C5" s="17">
        <f>'Backup-Interior'!C5</f>
        <v/>
      </c>
      <c r="D5" s="24">
        <f>'Backup-Interior'!D5</f>
        <v/>
      </c>
      <c r="E5" s="47" t="n"/>
      <c r="F5" s="47" t="n"/>
      <c r="G5" s="24">
        <f>IF(D5="","",D5*(N(E5)+N(F5)*PREVWAGE*DFACTOR))</f>
        <v/>
      </c>
      <c r="H5" s="17">
        <f>'Backup-Interior'!F5</f>
        <v/>
      </c>
      <c r="I5" s="49">
        <f>MATLOSS</f>
        <v/>
      </c>
      <c r="J5" s="49">
        <f>MATMARKUP</f>
        <v/>
      </c>
      <c r="K5" s="49">
        <f>LABMARKUP</f>
        <v/>
      </c>
      <c r="L5" s="24">
        <f>IF(N(E5)=0,0,ROUND(E5*(1+J5),2))</f>
        <v/>
      </c>
      <c r="M5" s="24">
        <f>IF(N(F5)=0,0,ROUND(F5*PREVWAGE*DFACTOR*(1+K5),2))</f>
        <v/>
      </c>
      <c r="N5" s="24">
        <f>IF(D5="","",ROUND(D5*(1+N(I5))*(N(L5)+N(M5)),2))</f>
        <v/>
      </c>
      <c r="O5" s="24">
        <f>IF(D5="","",N(N5)-N(G5))</f>
        <v/>
      </c>
      <c r="P5" s="29" t="n">
        <v>1.7</v>
      </c>
      <c r="Q5" s="29" t="n">
        <v>3.1</v>
      </c>
      <c r="R5" s="50" t="inlineStr">
        <is>
          <t>THANCHOR-US-001</t>
        </is>
      </c>
      <c r="S5" s="18" t="n"/>
    </row>
    <row r="6">
      <c r="A6" s="17" t="n">
        <v>3</v>
      </c>
      <c r="B6" s="18">
        <f>'Backup-Interior'!B6</f>
        <v/>
      </c>
      <c r="C6" s="17">
        <f>'Backup-Interior'!C6</f>
        <v/>
      </c>
      <c r="D6" s="24">
        <f>'Backup-Interior'!D6</f>
        <v/>
      </c>
      <c r="E6" s="47" t="n"/>
      <c r="F6" s="47" t="n"/>
      <c r="G6" s="24">
        <f>IF(D6="","",D6*(N(E6)+N(F6)*PREVWAGE*DFACTOR))</f>
        <v/>
      </c>
      <c r="H6" s="17">
        <f>'Backup-Interior'!F6</f>
        <v/>
      </c>
      <c r="I6" s="49">
        <f>MATLOSS</f>
        <v/>
      </c>
      <c r="J6" s="49">
        <f>MATMARKUP</f>
        <v/>
      </c>
      <c r="K6" s="49">
        <f>LABMARKUP</f>
        <v/>
      </c>
      <c r="L6" s="24">
        <f>IF(N(E6)=0,0,ROUND(E6*(1+J6),2))</f>
        <v/>
      </c>
      <c r="M6" s="24">
        <f>IF(N(F6)=0,0,ROUND(F6*PREVWAGE*DFACTOR*(1+K6),2))</f>
        <v/>
      </c>
      <c r="N6" s="24">
        <f>IF(D6="","",ROUND(D6*(1+N(I6))*(N(L6)+N(M6)),2))</f>
        <v/>
      </c>
      <c r="O6" s="24">
        <f>IF(D6="","",N(N6)-N(G6))</f>
        <v/>
      </c>
      <c r="P6" s="29" t="n">
        <v>5.92</v>
      </c>
      <c r="Q6" s="29" t="n">
        <v>10.74</v>
      </c>
      <c r="R6" s="50" t="inlineStr">
        <is>
          <t>THANCHOR-US-234</t>
        </is>
      </c>
      <c r="S6" s="18" t="n"/>
    </row>
    <row r="7">
      <c r="A7" s="17" t="n">
        <v>4</v>
      </c>
      <c r="B7" s="18">
        <f>'Backup-Interior'!B7</f>
        <v/>
      </c>
      <c r="C7" s="17">
        <f>'Backup-Interior'!C7</f>
        <v/>
      </c>
      <c r="D7" s="24">
        <f>'Backup-Interior'!D7</f>
        <v/>
      </c>
      <c r="E7" s="47" t="n"/>
      <c r="F7" s="47" t="n"/>
      <c r="G7" s="24">
        <f>IF(D7="","",D7*(N(E7)+N(F7)*PREVWAGE*DFACTOR))</f>
        <v/>
      </c>
      <c r="H7" s="17">
        <f>'Backup-Interior'!F7</f>
        <v/>
      </c>
      <c r="I7" s="49">
        <f>MATLOSS</f>
        <v/>
      </c>
      <c r="J7" s="49">
        <f>MATMARKUP</f>
        <v/>
      </c>
      <c r="K7" s="49">
        <f>LABMARKUP</f>
        <v/>
      </c>
      <c r="L7" s="24">
        <f>IF(N(E7)=0,0,ROUND(E7*(1+J7),2))</f>
        <v/>
      </c>
      <c r="M7" s="24">
        <f>IF(N(F7)=0,0,ROUND(F7*PREVWAGE*DFACTOR*(1+K7),2))</f>
        <v/>
      </c>
      <c r="N7" s="24">
        <f>IF(D7="","",ROUND(D7*(1+N(I7))*(N(L7)+N(M7)),2))</f>
        <v/>
      </c>
      <c r="O7" s="24">
        <f>IF(D7="","",N(N7)-N(G7))</f>
        <v/>
      </c>
      <c r="P7" s="29" t="n">
        <v>12.29</v>
      </c>
      <c r="Q7" s="29" t="n">
        <v>23.24</v>
      </c>
      <c r="R7" s="50" t="inlineStr">
        <is>
          <t>THANCHOR-US-074</t>
        </is>
      </c>
      <c r="S7" s="18" t="n"/>
    </row>
    <row r="8">
      <c r="A8" s="17" t="n">
        <v>5</v>
      </c>
      <c r="B8" s="18">
        <f>'Backup-Interior'!B8</f>
        <v/>
      </c>
      <c r="C8" s="17">
        <f>'Backup-Interior'!C8</f>
        <v/>
      </c>
      <c r="D8" s="24">
        <f>'Backup-Interior'!D8</f>
        <v/>
      </c>
      <c r="E8" s="44" t="n"/>
      <c r="F8" s="44" t="n"/>
      <c r="G8" s="24">
        <f>IF(D8="","",D8*(N(E8)+N(F8)*PREVWAGE*DFACTOR))</f>
        <v/>
      </c>
      <c r="H8" s="17">
        <f>'Backup-Interior'!F8</f>
        <v/>
      </c>
      <c r="I8" s="49">
        <f>MATLOSS</f>
        <v/>
      </c>
      <c r="J8" s="49">
        <f>MATMARKUP</f>
        <v/>
      </c>
      <c r="K8" s="49">
        <f>LABMARKUP</f>
        <v/>
      </c>
      <c r="L8" s="24">
        <f>IF(N(E8)=0,0,ROUND(E8*(1+J8),2))</f>
        <v/>
      </c>
      <c r="M8" s="24">
        <f>IF(N(F8)=0,0,ROUND(F8*PREVWAGE*DFACTOR*(1+K8),2))</f>
        <v/>
      </c>
      <c r="N8" s="24">
        <f>IF(D8="","",ROUND(D8*(1+N(I8))*(N(L8)+N(M8)),2))</f>
        <v/>
      </c>
      <c r="O8" s="24">
        <f>IF(D8="","",N(N8)-N(G8))</f>
        <v/>
      </c>
      <c r="P8" s="24" t="n"/>
      <c r="Q8" s="24" t="n"/>
      <c r="R8" s="17" t="n"/>
      <c r="S8" s="18" t="n"/>
    </row>
    <row r="9">
      <c r="A9" s="17" t="n">
        <v>6</v>
      </c>
      <c r="B9" s="18">
        <f>'Backup-Interior'!B9</f>
        <v/>
      </c>
      <c r="C9" s="17">
        <f>'Backup-Interior'!C9</f>
        <v/>
      </c>
      <c r="D9" s="24">
        <f>'Backup-Interior'!D9</f>
        <v/>
      </c>
      <c r="E9" s="47" t="n"/>
      <c r="F9" s="47" t="n"/>
      <c r="G9" s="24">
        <f>IF(D9="","",D9*(N(E9)+N(F9)*PREVWAGE*DFACTOR))</f>
        <v/>
      </c>
      <c r="H9" s="17">
        <f>'Backup-Interior'!F9</f>
        <v/>
      </c>
      <c r="I9" s="49">
        <f>MATLOSS</f>
        <v/>
      </c>
      <c r="J9" s="49">
        <f>MATMARKUP</f>
        <v/>
      </c>
      <c r="K9" s="49">
        <f>LABMARKUP</f>
        <v/>
      </c>
      <c r="L9" s="24">
        <f>IF(N(E9)=0,0,ROUND(E9*(1+J9),2))</f>
        <v/>
      </c>
      <c r="M9" s="24">
        <f>IF(N(F9)=0,0,ROUND(F9*PREVWAGE*DFACTOR*(1+K9),2))</f>
        <v/>
      </c>
      <c r="N9" s="24">
        <f>IF(D9="","",ROUND(D9*(1+N(I9))*(N(L9)+N(M9)),2))</f>
        <v/>
      </c>
      <c r="O9" s="24">
        <f>IF(D9="","",N(N9)-N(G9))</f>
        <v/>
      </c>
      <c r="P9" s="29" t="n">
        <v>5.92</v>
      </c>
      <c r="Q9" s="29" t="n">
        <v>10.74</v>
      </c>
      <c r="R9" s="50" t="inlineStr">
        <is>
          <t>THANCHOR-US-234</t>
        </is>
      </c>
      <c r="S9" s="18" t="n"/>
    </row>
    <row r="10">
      <c r="A10" s="17" t="n">
        <v>7</v>
      </c>
      <c r="B10" s="18">
        <f>'Backup-Interior'!B10</f>
        <v/>
      </c>
      <c r="C10" s="17">
        <f>'Backup-Interior'!C10</f>
        <v/>
      </c>
      <c r="D10" s="24">
        <f>'Backup-Interior'!D10</f>
        <v/>
      </c>
      <c r="E10" s="47" t="n"/>
      <c r="F10" s="47" t="n"/>
      <c r="G10" s="24">
        <f>IF(D10="","",D10*(N(E10)+N(F10)*PREVWAGE*DFACTOR))</f>
        <v/>
      </c>
      <c r="H10" s="17">
        <f>'Backup-Interior'!F10</f>
        <v/>
      </c>
      <c r="I10" s="49">
        <f>MATLOSS</f>
        <v/>
      </c>
      <c r="J10" s="49">
        <f>MATMARKUP</f>
        <v/>
      </c>
      <c r="K10" s="49">
        <f>LABMARKUP</f>
        <v/>
      </c>
      <c r="L10" s="24">
        <f>IF(N(E10)=0,0,ROUND(E10*(1+J10),2))</f>
        <v/>
      </c>
      <c r="M10" s="24">
        <f>IF(N(F10)=0,0,ROUND(F10*PREVWAGE*DFACTOR*(1+K10),2))</f>
        <v/>
      </c>
      <c r="N10" s="24">
        <f>IF(D10="","",ROUND(D10*(1+N(I10))*(N(L10)+N(M10)),2))</f>
        <v/>
      </c>
      <c r="O10" s="24">
        <f>IF(D10="","",N(N10)-N(G10))</f>
        <v/>
      </c>
      <c r="P10" s="29" t="n">
        <v>12.29</v>
      </c>
      <c r="Q10" s="29" t="n">
        <v>23.24</v>
      </c>
      <c r="R10" s="50" t="inlineStr">
        <is>
          <t>THANCHOR-US-074</t>
        </is>
      </c>
      <c r="S10" s="18" t="n"/>
    </row>
    <row r="11">
      <c r="A11" s="17" t="n">
        <v>8</v>
      </c>
      <c r="B11" s="18">
        <f>'Backup-Interior'!B11</f>
        <v/>
      </c>
      <c r="C11" s="17">
        <f>'Backup-Interior'!C11</f>
        <v/>
      </c>
      <c r="D11" s="24">
        <f>'Backup-Interior'!D11</f>
        <v/>
      </c>
      <c r="E11" s="47" t="n"/>
      <c r="F11" s="47" t="n"/>
      <c r="G11" s="24">
        <f>IF(D11="","",D11*(N(E11)+N(F11)*PREVWAGE*DFACTOR))</f>
        <v/>
      </c>
      <c r="H11" s="17">
        <f>'Backup-Interior'!F11</f>
        <v/>
      </c>
      <c r="I11" s="49">
        <f>MATLOSS</f>
        <v/>
      </c>
      <c r="J11" s="49">
        <f>MATMARKUP</f>
        <v/>
      </c>
      <c r="K11" s="49">
        <f>LABMARKUP</f>
        <v/>
      </c>
      <c r="L11" s="24">
        <f>IF(N(E11)=0,0,ROUND(E11*(1+J11),2))</f>
        <v/>
      </c>
      <c r="M11" s="24">
        <f>IF(N(F11)=0,0,ROUND(F11*PREVWAGE*DFACTOR*(1+K11),2))</f>
        <v/>
      </c>
      <c r="N11" s="24">
        <f>IF(D11="","",ROUND(D11*(1+N(I11))*(N(L11)+N(M11)),2))</f>
        <v/>
      </c>
      <c r="O11" s="24">
        <f>IF(D11="","",N(N11)-N(G11))</f>
        <v/>
      </c>
      <c r="P11" s="29" t="n">
        <v>12.29</v>
      </c>
      <c r="Q11" s="29" t="n">
        <v>23.24</v>
      </c>
      <c r="R11" s="50" t="inlineStr">
        <is>
          <t>THANCHOR-US-074</t>
        </is>
      </c>
      <c r="S11" s="18" t="n"/>
    </row>
    <row r="12">
      <c r="A12" s="17" t="n">
        <v>9</v>
      </c>
      <c r="B12" s="18">
        <f>'Backup-Interior'!B12</f>
        <v/>
      </c>
      <c r="C12" s="17">
        <f>'Backup-Interior'!C12</f>
        <v/>
      </c>
      <c r="D12" s="24">
        <f>'Backup-Interior'!D12</f>
        <v/>
      </c>
      <c r="E12" s="47" t="n"/>
      <c r="F12" s="47" t="n"/>
      <c r="G12" s="24">
        <f>IF(D12="","",D12*(N(E12)+N(F12)*PREVWAGE*DFACTOR))</f>
        <v/>
      </c>
      <c r="H12" s="17">
        <f>'Backup-Interior'!F12</f>
        <v/>
      </c>
      <c r="I12" s="49">
        <f>MATLOSS</f>
        <v/>
      </c>
      <c r="J12" s="49">
        <f>MATMARKUP</f>
        <v/>
      </c>
      <c r="K12" s="49">
        <f>LABMARKUP</f>
        <v/>
      </c>
      <c r="L12" s="24">
        <f>IF(N(E12)=0,0,ROUND(E12*(1+J12),2))</f>
        <v/>
      </c>
      <c r="M12" s="24">
        <f>IF(N(F12)=0,0,ROUND(F12*PREVWAGE*DFACTOR*(1+K12),2))</f>
        <v/>
      </c>
      <c r="N12" s="24">
        <f>IF(D12="","",ROUND(D12*(1+N(I12))*(N(L12)+N(M12)),2))</f>
        <v/>
      </c>
      <c r="O12" s="24">
        <f>IF(D12="","",N(N12)-N(G12))</f>
        <v/>
      </c>
      <c r="P12" s="29" t="n">
        <v>5.92</v>
      </c>
      <c r="Q12" s="29" t="n">
        <v>10.74</v>
      </c>
      <c r="R12" s="50" t="inlineStr">
        <is>
          <t>THANCHOR-US-234</t>
        </is>
      </c>
      <c r="S12" s="18" t="n"/>
    </row>
    <row r="13">
      <c r="A13" s="17" t="n">
        <v>10</v>
      </c>
      <c r="B13" s="18">
        <f>'Backup-Interior'!B13</f>
        <v/>
      </c>
      <c r="C13" s="17">
        <f>'Backup-Interior'!C13</f>
        <v/>
      </c>
      <c r="D13" s="24">
        <f>'Backup-Interior'!D13</f>
        <v/>
      </c>
      <c r="E13" s="47" t="n"/>
      <c r="F13" s="47" t="n"/>
      <c r="G13" s="24">
        <f>IF(D13="","",D13*(N(E13)+N(F13)*PREVWAGE*DFACTOR))</f>
        <v/>
      </c>
      <c r="H13" s="17">
        <f>'Backup-Interior'!F13</f>
        <v/>
      </c>
      <c r="I13" s="49">
        <f>MATLOSS</f>
        <v/>
      </c>
      <c r="J13" s="49">
        <f>MATMARKUP</f>
        <v/>
      </c>
      <c r="K13" s="49">
        <f>LABMARKUP</f>
        <v/>
      </c>
      <c r="L13" s="24">
        <f>IF(N(E13)=0,0,ROUND(E13*(1+J13),2))</f>
        <v/>
      </c>
      <c r="M13" s="24">
        <f>IF(N(F13)=0,0,ROUND(F13*PREVWAGE*DFACTOR*(1+K13),2))</f>
        <v/>
      </c>
      <c r="N13" s="24">
        <f>IF(D13="","",ROUND(D13*(1+N(I13))*(N(L13)+N(M13)),2))</f>
        <v/>
      </c>
      <c r="O13" s="24">
        <f>IF(D13="","",N(N13)-N(G13))</f>
        <v/>
      </c>
      <c r="P13" s="29" t="n">
        <v>4.99</v>
      </c>
      <c r="Q13" s="29" t="n">
        <v>10.68</v>
      </c>
      <c r="R13" s="50" t="inlineStr">
        <is>
          <t>THANCHOR-US-097</t>
        </is>
      </c>
      <c r="S13" s="18" t="n"/>
    </row>
    <row r="14">
      <c r="A14" s="17" t="n">
        <v>11</v>
      </c>
      <c r="B14" s="18">
        <f>'Backup-Interior'!B14</f>
        <v/>
      </c>
      <c r="C14" s="17">
        <f>'Backup-Interior'!C14</f>
        <v/>
      </c>
      <c r="D14" s="24">
        <f>'Backup-Interior'!D14</f>
        <v/>
      </c>
      <c r="E14" s="44" t="n"/>
      <c r="F14" s="44" t="n"/>
      <c r="G14" s="24">
        <f>IF(D14="","",D14*(N(E14)+N(F14)*PREVWAGE*DFACTOR))</f>
        <v/>
      </c>
      <c r="H14" s="17">
        <f>'Backup-Interior'!F14</f>
        <v/>
      </c>
      <c r="I14" s="49">
        <f>MATLOSS</f>
        <v/>
      </c>
      <c r="J14" s="49">
        <f>MATMARKUP</f>
        <v/>
      </c>
      <c r="K14" s="49">
        <f>LABMARKUP</f>
        <v/>
      </c>
      <c r="L14" s="24">
        <f>IF(N(E14)=0,0,ROUND(E14*(1+J14),2))</f>
        <v/>
      </c>
      <c r="M14" s="24">
        <f>IF(N(F14)=0,0,ROUND(F14*PREVWAGE*DFACTOR*(1+K14),2))</f>
        <v/>
      </c>
      <c r="N14" s="24">
        <f>IF(D14="","",ROUND(D14*(1+N(I14))*(N(L14)+N(M14)),2))</f>
        <v/>
      </c>
      <c r="O14" s="24">
        <f>IF(D14="","",N(N14)-N(G14))</f>
        <v/>
      </c>
      <c r="P14" s="24" t="n"/>
      <c r="Q14" s="24" t="n"/>
      <c r="R14" s="17" t="n"/>
      <c r="S14" s="18" t="n"/>
    </row>
    <row r="15">
      <c r="B15" s="25" t="inlineStr">
        <is>
          <t>Interior — Direct Subtotal</t>
        </is>
      </c>
      <c r="G15" s="48">
        <f>SUM(G4:G14)</f>
        <v/>
      </c>
      <c r="N15" s="48">
        <f>SUM(N4:N14)</f>
        <v/>
      </c>
      <c r="O15" s="48">
        <f>SUM(O4:O14)</f>
        <v/>
      </c>
      <c r="P15" s="54">
        <f>SUMPRODUCT(D4:D14,P4:P14)</f>
        <v/>
      </c>
      <c r="Q15" s="54">
        <f>SUMPRODUCT(D4:D14,Q4:Q14)</f>
        <v/>
      </c>
      <c r="R15"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1.xml><?xml version="1.0" encoding="utf-8"?>
<worksheet xmlns="http://schemas.openxmlformats.org/spreadsheetml/2006/main">
  <sheetPr>
    <outlinePr summaryBelow="1" summaryRight="1"/>
    <pageSetUpPr fitToPage="1"/>
  </sheetPr>
  <dimension ref="A1:I14"/>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Interior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Interior partition, 3-5/8 in metal stud at 16 in o.c., full height</t>
        </is>
      </c>
      <c r="C4" s="17" t="inlineStr">
        <is>
          <t>SF</t>
        </is>
      </c>
      <c r="D4" s="24">
        <f>'Calc-Interior'!H9*10.7639</f>
        <v/>
      </c>
      <c r="E4" s="17" t="inlineStr">
        <is>
          <t>A-101, A-401</t>
        </is>
      </c>
      <c r="F4" s="17" t="n">
        <v>0.9</v>
      </c>
      <c r="G4" s="18" t="inlineStr">
        <is>
          <t>Partition runs are taken from the room boundaries on A-101; shared walls counted once.</t>
        </is>
      </c>
      <c r="H4" s="18" t="inlineStr">
        <is>
          <t>None</t>
        </is>
      </c>
      <c r="I4" s="18" t="inlineStr">
        <is>
          <t>09 22 16</t>
        </is>
      </c>
    </row>
    <row r="5">
      <c r="A5" s="17" t="n">
        <v>2</v>
      </c>
      <c r="B5" s="18" t="inlineStr">
        <is>
          <t>5/8 in type X gypsum board, both faces of interior partitions, taped and painted</t>
        </is>
      </c>
      <c r="C5" s="17" t="inlineStr">
        <is>
          <t>SF</t>
        </is>
      </c>
      <c r="D5" s="24">
        <f>'Calc-Interior'!H17*10.7639</f>
        <v/>
      </c>
      <c r="E5" s="17" t="inlineStr">
        <is>
          <t>A-101, A-401</t>
        </is>
      </c>
      <c r="F5" s="17" t="n">
        <v>0.9</v>
      </c>
      <c r="G5" s="18" t="inlineStr">
        <is>
          <t>Both faces are boarded per the A-401 partition type.</t>
        </is>
      </c>
      <c r="H5" s="18" t="inlineStr">
        <is>
          <t>None</t>
        </is>
      </c>
      <c r="I5" s="18" t="inlineStr">
        <is>
          <t>09 29 00</t>
        </is>
      </c>
    </row>
    <row r="6">
      <c r="A6" s="17" t="n">
        <v>3</v>
      </c>
      <c r="B6" s="18" t="inlineStr">
        <is>
          <t>Sealed concrete — Main Hall</t>
        </is>
      </c>
      <c r="C6" s="17" t="inlineStr">
        <is>
          <t>SF</t>
        </is>
      </c>
      <c r="D6" s="24">
        <f>'Calc-Interior'!I25*10.7639</f>
        <v/>
      </c>
      <c r="E6" s="17" t="inlineStr">
        <is>
          <t>A-602</t>
        </is>
      </c>
      <c r="F6" s="17" t="n">
        <v>1</v>
      </c>
      <c r="G6" s="18" t="inlineStr">
        <is>
          <t>Floor area is the room area; no deduction for fittings.</t>
        </is>
      </c>
      <c r="H6" s="18" t="inlineStr">
        <is>
          <t>None</t>
        </is>
      </c>
      <c r="I6" s="18" t="inlineStr">
        <is>
          <t>09 65 00</t>
        </is>
      </c>
    </row>
    <row r="7">
      <c r="A7" s="17" t="n">
        <v>4</v>
      </c>
      <c r="B7" s="18" t="inlineStr">
        <is>
          <t>Porcelain tile 12x24 — Lobby</t>
        </is>
      </c>
      <c r="C7" s="17" t="inlineStr">
        <is>
          <t>SF</t>
        </is>
      </c>
      <c r="D7" s="24">
        <f>'Calc-Interior'!I33*10.7639</f>
        <v/>
      </c>
      <c r="E7" s="17" t="inlineStr">
        <is>
          <t>A-602</t>
        </is>
      </c>
      <c r="F7" s="17" t="n">
        <v>1</v>
      </c>
      <c r="G7" s="18" t="inlineStr">
        <is>
          <t>Floor area is the room area; no deduction for fittings.</t>
        </is>
      </c>
      <c r="H7" s="18" t="inlineStr">
        <is>
          <t>None</t>
        </is>
      </c>
      <c r="I7" s="18" t="inlineStr">
        <is>
          <t>09 30 00</t>
        </is>
      </c>
    </row>
    <row r="8">
      <c r="A8" s="17" t="n">
        <v>5</v>
      </c>
      <c r="B8" s="18" t="inlineStr">
        <is>
          <t>Quarry tile with coved base — Kitchen</t>
        </is>
      </c>
      <c r="C8" s="17" t="inlineStr">
        <is>
          <t>SF</t>
        </is>
      </c>
      <c r="D8" s="24">
        <f>'Calc-Interior'!I41*10.7639</f>
        <v/>
      </c>
      <c r="E8" s="17" t="inlineStr">
        <is>
          <t>A-602</t>
        </is>
      </c>
      <c r="F8" s="17" t="n">
        <v>1</v>
      </c>
      <c r="G8" s="18" t="inlineStr">
        <is>
          <t>Floor area is the room area; no deduction for fittings.</t>
        </is>
      </c>
      <c r="H8" s="18" t="inlineStr">
        <is>
          <t>None</t>
        </is>
      </c>
      <c r="I8" s="18" t="inlineStr">
        <is>
          <t>09 30 00</t>
        </is>
      </c>
    </row>
    <row r="9">
      <c r="A9" s="17" t="n">
        <v>6</v>
      </c>
      <c r="B9" s="18" t="inlineStr">
        <is>
          <t>Sealed concrete — Store</t>
        </is>
      </c>
      <c r="C9" s="17" t="inlineStr">
        <is>
          <t>SF</t>
        </is>
      </c>
      <c r="D9" s="24">
        <f>'Calc-Interior'!I49*10.7639</f>
        <v/>
      </c>
      <c r="E9" s="17" t="inlineStr">
        <is>
          <t>A-602</t>
        </is>
      </c>
      <c r="F9" s="17" t="n">
        <v>1</v>
      </c>
      <c r="G9" s="18" t="inlineStr">
        <is>
          <t>Floor area is the room area; no deduction for fittings.</t>
        </is>
      </c>
      <c r="H9" s="18" t="inlineStr">
        <is>
          <t>None</t>
        </is>
      </c>
      <c r="I9" s="18" t="inlineStr">
        <is>
          <t>09 65 00</t>
        </is>
      </c>
    </row>
    <row r="10">
      <c r="A10" s="17" t="n">
        <v>7</v>
      </c>
      <c r="B10" s="18" t="inlineStr">
        <is>
          <t>Porcelain tile 12x24 — Toilet 1</t>
        </is>
      </c>
      <c r="C10" s="17" t="inlineStr">
        <is>
          <t>SF</t>
        </is>
      </c>
      <c r="D10" s="24">
        <f>'Calc-Interior'!I57*10.7639</f>
        <v/>
      </c>
      <c r="E10" s="17" t="inlineStr">
        <is>
          <t>A-602</t>
        </is>
      </c>
      <c r="F10" s="17" t="n">
        <v>1</v>
      </c>
      <c r="G10" s="18" t="inlineStr">
        <is>
          <t>Floor area is the room area; no deduction for fittings.</t>
        </is>
      </c>
      <c r="H10" s="18" t="inlineStr">
        <is>
          <t>None</t>
        </is>
      </c>
      <c r="I10" s="18" t="inlineStr">
        <is>
          <t>09 30 00</t>
        </is>
      </c>
    </row>
    <row r="11">
      <c r="A11" s="17" t="n">
        <v>8</v>
      </c>
      <c r="B11" s="18" t="inlineStr">
        <is>
          <t>Porcelain tile 12x24 — Toilet 2</t>
        </is>
      </c>
      <c r="C11" s="17" t="inlineStr">
        <is>
          <t>SF</t>
        </is>
      </c>
      <c r="D11" s="24">
        <f>'Calc-Interior'!I65*10.7639</f>
        <v/>
      </c>
      <c r="E11" s="17" t="inlineStr">
        <is>
          <t>A-602</t>
        </is>
      </c>
      <c r="F11" s="17" t="n">
        <v>1</v>
      </c>
      <c r="G11" s="18" t="inlineStr">
        <is>
          <t>Floor area is the room area; no deduction for fittings.</t>
        </is>
      </c>
      <c r="H11" s="18" t="inlineStr">
        <is>
          <t>None</t>
        </is>
      </c>
      <c r="I11" s="18" t="inlineStr">
        <is>
          <t>09 30 00</t>
        </is>
      </c>
    </row>
    <row r="12">
      <c r="A12" s="17" t="n">
        <v>9</v>
      </c>
      <c r="B12" s="18" t="inlineStr">
        <is>
          <t>Sealed concrete — Plant</t>
        </is>
      </c>
      <c r="C12" s="17" t="inlineStr">
        <is>
          <t>SF</t>
        </is>
      </c>
      <c r="D12" s="24">
        <f>'Calc-Interior'!I73*10.7639</f>
        <v/>
      </c>
      <c r="E12" s="17" t="inlineStr">
        <is>
          <t>A-602</t>
        </is>
      </c>
      <c r="F12" s="17" t="n">
        <v>1</v>
      </c>
      <c r="G12" s="18" t="inlineStr">
        <is>
          <t>Floor area is the room area; no deduction for fittings.</t>
        </is>
      </c>
      <c r="H12" s="18" t="inlineStr">
        <is>
          <t>None</t>
        </is>
      </c>
      <c r="I12" s="18" t="inlineStr">
        <is>
          <t>09 65 00</t>
        </is>
      </c>
    </row>
    <row r="13">
      <c r="A13" s="17" t="n">
        <v>10</v>
      </c>
      <c r="B13" s="18" t="inlineStr">
        <is>
          <t>Suspended acoustical ceiling, 2x2 lay-in, at 9'-0 AFF</t>
        </is>
      </c>
      <c r="C13" s="17" t="inlineStr">
        <is>
          <t>SF</t>
        </is>
      </c>
      <c r="D13" s="24">
        <f>'Calc-Interior'!I81*10.7639</f>
        <v/>
      </c>
      <c r="E13" s="17" t="inlineStr">
        <is>
          <t>A-102, A-602</t>
        </is>
      </c>
      <c r="F13" s="17" t="n">
        <v>1</v>
      </c>
      <c r="G13" s="18" t="inlineStr">
        <is>
          <t>Only the rooms scheduled with ACT on A-602; the hall is exposed structure.</t>
        </is>
      </c>
      <c r="H13" s="18" t="inlineStr">
        <is>
          <t>None</t>
        </is>
      </c>
      <c r="I13" s="18" t="inlineStr">
        <is>
          <t>09 51 00</t>
        </is>
      </c>
    </row>
    <row r="14">
      <c r="A14" s="17" t="n">
        <v>11</v>
      </c>
      <c r="B14" s="18" t="inlineStr">
        <is>
          <t>Paint, two coats over primer, on masonry and gypsum board wall surfaces</t>
        </is>
      </c>
      <c r="C14" s="17" t="inlineStr">
        <is>
          <t>SF</t>
        </is>
      </c>
      <c r="D14" s="24">
        <f>'Calc-Interior'!I89*10.7639</f>
        <v/>
      </c>
      <c r="E14" s="17" t="inlineStr">
        <is>
          <t>A-602</t>
        </is>
      </c>
      <c r="F14" s="17" t="n">
        <v>0.9</v>
      </c>
      <c r="G14" s="18" t="inlineStr">
        <is>
          <t>Painted surfaces per the A-602 schedule; tiled areas are excluded.</t>
        </is>
      </c>
      <c r="H14" s="18" t="inlineStr">
        <is>
          <t>None</t>
        </is>
      </c>
      <c r="I14" s="18" t="inlineStr">
        <is>
          <t>09 91 00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2.xml><?xml version="1.0" encoding="utf-8"?>
<worksheet xmlns="http://schemas.openxmlformats.org/spreadsheetml/2006/main">
  <sheetPr>
    <tabColor rgb="001F4E5F"/>
    <outlinePr summaryBelow="1" summaryRight="1"/>
    <pageSetUpPr fitToPage="1"/>
  </sheetPr>
  <dimension ref="A1:J89"/>
  <sheetViews>
    <sheetView showGridLines="0" workbookViewId="0">
      <pane ySplit="3" topLeftCell="A4" activePane="bottomLeft" state="frozen"/>
      <selection pane="bottomLeft" activeCell="A1" sqref="A1"/>
    </sheetView>
  </sheetViews>
  <sheetFormatPr baseColWidth="8" defaultRowHeight="15"/>
  <cols>
    <col width="32" customWidth="1" min="2" max="2"/>
    <col width="7" customWidth="1" min="3" max="3"/>
    <col width="10" customWidth="1" min="4" max="4"/>
    <col width="10" customWidth="1" min="5" max="5"/>
    <col width="12" customWidth="1" min="6" max="6"/>
    <col width="16" customWidth="1" min="7" max="7"/>
    <col width="9" customWidth="1" min="8" max="8"/>
    <col width="12" customWidth="1" min="9" max="9"/>
    <col width="12" customWidth="1" min="10" max="10"/>
  </cols>
  <sheetData>
    <row r="1">
      <c r="A1" s="55" t="inlineStr">
        <is>
          <t>Calculation sheet — Interior</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Interior partition, 3-5/8 in metal stud at 16 in o.c., full height</t>
        </is>
      </c>
      <c r="F4" s="56" t="inlineStr">
        <is>
          <t>09 22 16 | metal framing | A-101, A-401</t>
        </is>
      </c>
    </row>
    <row r="5">
      <c r="A5" s="56" t="inlineStr">
        <is>
          <t>Enter positive rows for wall runs and NEGATIVE count rows for door/window openings to deduct, exactly as a measurement sheet does — the deduction stays visible and auditable instead of being silently netted off.</t>
        </is>
      </c>
    </row>
    <row r="6">
      <c r="A6" s="57" t="inlineStr">
        <is>
          <t>#</t>
        </is>
      </c>
      <c r="B6" s="57" t="inlineStr">
        <is>
          <t>Wall run / Opening</t>
        </is>
      </c>
      <c r="C6" s="57" t="inlineStr">
        <is>
          <t>No. (use -1 to deduct)</t>
        </is>
      </c>
      <c r="D6" s="57" t="inlineStr">
        <is>
          <t>Length
(m)</t>
        </is>
      </c>
      <c r="E6" s="57" t="inlineStr">
        <is>
          <t>Height
(m)</t>
        </is>
      </c>
      <c r="F6" s="57" t="inlineStr">
        <is>
          <t>Wall type</t>
        </is>
      </c>
      <c r="G6" s="57" t="inlineStr">
        <is>
          <t>Factor</t>
        </is>
      </c>
      <c r="H6" s="57" t="inlineStr">
        <is>
          <t>Net area
(m2)</t>
        </is>
      </c>
      <c r="I6" s="57" t="inlineStr">
        <is>
          <t>Both faces
(m2)</t>
        </is>
      </c>
      <c r="J6" s="57" t="inlineStr">
        <is>
          <t>PART</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formula</t>
        </is>
      </c>
      <c r="I7" s="58" t="inlineStr">
        <is>
          <t>formula</t>
        </is>
      </c>
      <c r="J7" s="58" t="inlineStr">
        <is>
          <t>formula</t>
        </is>
      </c>
    </row>
    <row r="8">
      <c r="A8" s="56" t="n">
        <v>1</v>
      </c>
      <c r="B8" s="59" t="inlineStr">
        <is>
          <t>Interior partitions scaled off A-101</t>
        </is>
      </c>
      <c r="C8" s="60" t="n">
        <v>1</v>
      </c>
      <c r="D8" s="84" t="n">
        <v>49.987</v>
      </c>
      <c r="E8" s="84" t="n">
        <v>4.267</v>
      </c>
      <c r="F8" s="59" t="inlineStr">
        <is>
          <t>PART</t>
        </is>
      </c>
      <c r="G8" s="84" t="n">
        <v>1</v>
      </c>
      <c r="H8" s="85">
        <f>(C8*D8*E8)*G8</f>
        <v/>
      </c>
      <c r="I8" s="85">
        <f>H8*2</f>
        <v/>
      </c>
      <c r="J8" s="85">
        <f>IF($F8=J$6,H8,0)</f>
        <v/>
      </c>
    </row>
    <row r="9">
      <c r="A9" s="56" t="inlineStr">
        <is>
          <t>note: linked to the Backup sheet as m2 x 10.7639 = SF</t>
        </is>
      </c>
      <c r="H9" s="86">
        <f>SUM(H8:H8)</f>
        <v/>
      </c>
      <c r="I9" s="86">
        <f>SUM(I8:I8)</f>
        <v/>
      </c>
      <c r="J9" s="86">
        <f>SUM(J8:J8)</f>
        <v/>
      </c>
    </row>
    <row r="10"/>
    <row r="11"/>
    <row r="12">
      <c r="A12" s="21" t="inlineStr">
        <is>
          <t>5/8 in type X gypsum board, both faces of interior partitions, taped and painted</t>
        </is>
      </c>
      <c r="F12" s="56" t="inlineStr">
        <is>
          <t>09 29 00 | gypsum board | A-101, A-401</t>
        </is>
      </c>
    </row>
    <row r="13">
      <c r="A13" s="56" t="inlineStr">
        <is>
          <t>Enter positive rows for wall runs and NEGATIVE count rows for door/window openings to deduct, exactly as a measurement sheet does — the deduction stays visible and auditable instead of being silently netted off.</t>
        </is>
      </c>
    </row>
    <row r="14">
      <c r="A14" s="57" t="inlineStr">
        <is>
          <t>#</t>
        </is>
      </c>
      <c r="B14" s="57" t="inlineStr">
        <is>
          <t>Wall run / Opening</t>
        </is>
      </c>
      <c r="C14" s="57" t="inlineStr">
        <is>
          <t>No. (use -1 to deduct)</t>
        </is>
      </c>
      <c r="D14" s="57" t="inlineStr">
        <is>
          <t>Length
(m)</t>
        </is>
      </c>
      <c r="E14" s="57" t="inlineStr">
        <is>
          <t>Height
(m)</t>
        </is>
      </c>
      <c r="F14" s="57" t="inlineStr">
        <is>
          <t>Wall type</t>
        </is>
      </c>
      <c r="G14" s="57" t="inlineStr">
        <is>
          <t>Factor</t>
        </is>
      </c>
      <c r="H14" s="57" t="inlineStr">
        <is>
          <t>Net area
(m2)</t>
        </is>
      </c>
      <c r="I14" s="57" t="inlineStr">
        <is>
          <t>Both faces
(m2)</t>
        </is>
      </c>
      <c r="J14" s="57" t="inlineStr">
        <is>
          <t>GWB</t>
        </is>
      </c>
    </row>
    <row r="15">
      <c r="A15" s="56" t="inlineStr">
        <is>
          <t>edit →</t>
        </is>
      </c>
      <c r="B15" s="58" t="inlineStr">
        <is>
          <t>editable</t>
        </is>
      </c>
      <c r="C15" s="58" t="inlineStr">
        <is>
          <t>editable</t>
        </is>
      </c>
      <c r="D15" s="58" t="inlineStr">
        <is>
          <t>editable</t>
        </is>
      </c>
      <c r="E15" s="58" t="inlineStr">
        <is>
          <t>editable</t>
        </is>
      </c>
      <c r="F15" s="58" t="inlineStr">
        <is>
          <t>editable</t>
        </is>
      </c>
      <c r="G15" s="58" t="inlineStr">
        <is>
          <t>editable</t>
        </is>
      </c>
      <c r="H15" s="58" t="inlineStr">
        <is>
          <t>formula</t>
        </is>
      </c>
      <c r="I15" s="58" t="inlineStr">
        <is>
          <t>formula</t>
        </is>
      </c>
      <c r="J15" s="58" t="inlineStr">
        <is>
          <t>formula</t>
        </is>
      </c>
    </row>
    <row r="16">
      <c r="A16" s="56" t="n">
        <v>1</v>
      </c>
      <c r="B16" s="59" t="inlineStr">
        <is>
          <t>Partition, both faces, A-401</t>
        </is>
      </c>
      <c r="C16" s="60" t="n">
        <v>1</v>
      </c>
      <c r="D16" s="84" t="n">
        <v>99.974</v>
      </c>
      <c r="E16" s="84" t="n">
        <v>4.267</v>
      </c>
      <c r="F16" s="59" t="inlineStr">
        <is>
          <t>GWB</t>
        </is>
      </c>
      <c r="G16" s="84" t="n">
        <v>1</v>
      </c>
      <c r="H16" s="85">
        <f>(C16*D16*E16)*G16</f>
        <v/>
      </c>
      <c r="I16" s="85">
        <f>H16*2</f>
        <v/>
      </c>
      <c r="J16" s="85">
        <f>IF($F16=J$14,H16,0)</f>
        <v/>
      </c>
    </row>
    <row r="17">
      <c r="A17" s="56" t="inlineStr">
        <is>
          <t>note: linked to the Backup sheet as m2 x 10.7639 = SF</t>
        </is>
      </c>
      <c r="H17" s="86">
        <f>SUM(H16:H16)</f>
        <v/>
      </c>
      <c r="I17" s="86">
        <f>SUM(I16:I16)</f>
        <v/>
      </c>
      <c r="J17" s="86">
        <f>SUM(J16:J16)</f>
        <v/>
      </c>
    </row>
    <row r="18"/>
    <row r="19"/>
    <row r="20">
      <c r="A20" s="21" t="inlineStr">
        <is>
          <t>Sealed concrete — Main Hall</t>
        </is>
      </c>
      <c r="G20" s="56" t="inlineStr">
        <is>
          <t>09 65 00 | flooring | A-602</t>
        </is>
      </c>
    </row>
    <row r="21">
      <c r="A21"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22">
      <c r="A22" s="57" t="inlineStr">
        <is>
          <t>#</t>
        </is>
      </c>
      <c r="B22" s="57" t="inlineStr">
        <is>
          <t>Room / Zone</t>
        </is>
      </c>
      <c r="C22" s="57" t="inlineStr">
        <is>
          <t>No.</t>
        </is>
      </c>
      <c r="D22" s="57" t="inlineStr">
        <is>
          <t>Length
(m)</t>
        </is>
      </c>
      <c r="E22" s="57" t="inlineStr">
        <is>
          <t>Width
(m)</t>
        </is>
      </c>
      <c r="F22" s="57" t="inlineStr">
        <is>
          <t>Finish code</t>
        </is>
      </c>
      <c r="G22" s="57" t="inlineStr">
        <is>
          <t>Area (measured directly)
(m2)</t>
        </is>
      </c>
      <c r="H22" s="57" t="inlineStr">
        <is>
          <t>Factor</t>
        </is>
      </c>
      <c r="I22" s="57" t="inlineStr">
        <is>
          <t>Area
(m2)</t>
        </is>
      </c>
      <c r="J22" s="57" t="inlineStr">
        <is>
          <t>FLR</t>
        </is>
      </c>
    </row>
    <row r="23">
      <c r="A23" s="56" t="inlineStr">
        <is>
          <t>edit →</t>
        </is>
      </c>
      <c r="B23" s="58" t="inlineStr">
        <is>
          <t>editable</t>
        </is>
      </c>
      <c r="C23" s="58" t="inlineStr">
        <is>
          <t>editable</t>
        </is>
      </c>
      <c r="D23" s="58" t="inlineStr">
        <is>
          <t>editable</t>
        </is>
      </c>
      <c r="E23" s="58" t="inlineStr">
        <is>
          <t>editable</t>
        </is>
      </c>
      <c r="F23" s="58" t="inlineStr">
        <is>
          <t>editable</t>
        </is>
      </c>
      <c r="G23" s="58" t="inlineStr">
        <is>
          <t>editable</t>
        </is>
      </c>
      <c r="H23" s="58" t="inlineStr">
        <is>
          <t>editable</t>
        </is>
      </c>
      <c r="I23" s="58" t="inlineStr">
        <is>
          <t>formula</t>
        </is>
      </c>
      <c r="J23" s="58" t="inlineStr">
        <is>
          <t>formula</t>
        </is>
      </c>
    </row>
    <row r="24">
      <c r="A24" s="56" t="n">
        <v>1</v>
      </c>
      <c r="B24" s="59" t="inlineStr">
        <is>
          <t>Main Hall floor, A-101</t>
        </is>
      </c>
      <c r="C24" s="60" t="n">
        <v>1</v>
      </c>
      <c r="D24" s="60" t="n">
        <v>0</v>
      </c>
      <c r="E24" s="60" t="n">
        <v>0</v>
      </c>
      <c r="F24" s="59" t="inlineStr">
        <is>
          <t>FLR</t>
        </is>
      </c>
      <c r="G24" s="84" t="n">
        <v>193.238</v>
      </c>
      <c r="H24" s="84" t="n">
        <v>1</v>
      </c>
      <c r="I24" s="85">
        <f>(IF(G24&gt;0,C24*G24,C24*D24*E24))*H24</f>
        <v/>
      </c>
      <c r="J24" s="85">
        <f>IF($F24=J$22,I24,0)</f>
        <v/>
      </c>
    </row>
    <row r="25">
      <c r="A25" s="56" t="inlineStr">
        <is>
          <t>note: linked to the Backup sheet as m2 x 10.7639 = SF</t>
        </is>
      </c>
      <c r="I25" s="86">
        <f>SUM(I24:I24)</f>
        <v/>
      </c>
      <c r="J25" s="86">
        <f>SUM(J24:J24)</f>
        <v/>
      </c>
    </row>
    <row r="26"/>
    <row r="27"/>
    <row r="28">
      <c r="A28" s="21" t="inlineStr">
        <is>
          <t>Porcelain tile 12x24 — Lobby</t>
        </is>
      </c>
      <c r="G28" s="56" t="inlineStr">
        <is>
          <t>09 30 00 | flooring | A-602</t>
        </is>
      </c>
    </row>
    <row r="29">
      <c r="A29"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30">
      <c r="A30" s="57" t="inlineStr">
        <is>
          <t>#</t>
        </is>
      </c>
      <c r="B30" s="57" t="inlineStr">
        <is>
          <t>Room / Zone</t>
        </is>
      </c>
      <c r="C30" s="57" t="inlineStr">
        <is>
          <t>No.</t>
        </is>
      </c>
      <c r="D30" s="57" t="inlineStr">
        <is>
          <t>Length
(m)</t>
        </is>
      </c>
      <c r="E30" s="57" t="inlineStr">
        <is>
          <t>Width
(m)</t>
        </is>
      </c>
      <c r="F30" s="57" t="inlineStr">
        <is>
          <t>Finish code</t>
        </is>
      </c>
      <c r="G30" s="57" t="inlineStr">
        <is>
          <t>Area (measured directly)
(m2)</t>
        </is>
      </c>
      <c r="H30" s="57" t="inlineStr">
        <is>
          <t>Factor</t>
        </is>
      </c>
      <c r="I30" s="57" t="inlineStr">
        <is>
          <t>Area
(m2)</t>
        </is>
      </c>
      <c r="J30" s="57" t="inlineStr">
        <is>
          <t>FLR</t>
        </is>
      </c>
    </row>
    <row r="31">
      <c r="A31" s="56" t="inlineStr">
        <is>
          <t>edit →</t>
        </is>
      </c>
      <c r="B31" s="58" t="inlineStr">
        <is>
          <t>editable</t>
        </is>
      </c>
      <c r="C31" s="58" t="inlineStr">
        <is>
          <t>editable</t>
        </is>
      </c>
      <c r="D31" s="58" t="inlineStr">
        <is>
          <t>editable</t>
        </is>
      </c>
      <c r="E31" s="58" t="inlineStr">
        <is>
          <t>editable</t>
        </is>
      </c>
      <c r="F31" s="58" t="inlineStr">
        <is>
          <t>editable</t>
        </is>
      </c>
      <c r="G31" s="58" t="inlineStr">
        <is>
          <t>editable</t>
        </is>
      </c>
      <c r="H31" s="58" t="inlineStr">
        <is>
          <t>editable</t>
        </is>
      </c>
      <c r="I31" s="58" t="inlineStr">
        <is>
          <t>formula</t>
        </is>
      </c>
      <c r="J31" s="58" t="inlineStr">
        <is>
          <t>formula</t>
        </is>
      </c>
    </row>
    <row r="32">
      <c r="A32" s="56" t="n">
        <v>1</v>
      </c>
      <c r="B32" s="59" t="inlineStr">
        <is>
          <t>Lobby floor, A-101</t>
        </is>
      </c>
      <c r="C32" s="60" t="n">
        <v>1</v>
      </c>
      <c r="D32" s="60" t="n">
        <v>0</v>
      </c>
      <c r="E32" s="60" t="n">
        <v>0</v>
      </c>
      <c r="F32" s="59" t="inlineStr">
        <is>
          <t>FLR</t>
        </is>
      </c>
      <c r="G32" s="84" t="n">
        <v>20.81</v>
      </c>
      <c r="H32" s="84" t="n">
        <v>1</v>
      </c>
      <c r="I32" s="85">
        <f>(IF(G32&gt;0,C32*G32,C32*D32*E32))*H32</f>
        <v/>
      </c>
      <c r="J32" s="85">
        <f>IF($F32=J$30,I32,0)</f>
        <v/>
      </c>
    </row>
    <row r="33">
      <c r="A33" s="56" t="inlineStr">
        <is>
          <t>note: linked to the Backup sheet as m2 x 10.7639 = SF</t>
        </is>
      </c>
      <c r="I33" s="86">
        <f>SUM(I32:I32)</f>
        <v/>
      </c>
      <c r="J33" s="86">
        <f>SUM(J32:J32)</f>
        <v/>
      </c>
    </row>
    <row r="34"/>
    <row r="35"/>
    <row r="36">
      <c r="A36" s="21" t="inlineStr">
        <is>
          <t>Quarry tile with coved base — Kitchen</t>
        </is>
      </c>
      <c r="G36" s="56" t="inlineStr">
        <is>
          <t>09 30 00 | flooring | A-602</t>
        </is>
      </c>
    </row>
    <row r="37">
      <c r="A37"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38">
      <c r="A38" s="57" t="inlineStr">
        <is>
          <t>#</t>
        </is>
      </c>
      <c r="B38" s="57" t="inlineStr">
        <is>
          <t>Room / Zone</t>
        </is>
      </c>
      <c r="C38" s="57" t="inlineStr">
        <is>
          <t>No.</t>
        </is>
      </c>
      <c r="D38" s="57" t="inlineStr">
        <is>
          <t>Length
(m)</t>
        </is>
      </c>
      <c r="E38" s="57" t="inlineStr">
        <is>
          <t>Width
(m)</t>
        </is>
      </c>
      <c r="F38" s="57" t="inlineStr">
        <is>
          <t>Finish code</t>
        </is>
      </c>
      <c r="G38" s="57" t="inlineStr">
        <is>
          <t>Area (measured directly)
(m2)</t>
        </is>
      </c>
      <c r="H38" s="57" t="inlineStr">
        <is>
          <t>Factor</t>
        </is>
      </c>
      <c r="I38" s="57" t="inlineStr">
        <is>
          <t>Area
(m2)</t>
        </is>
      </c>
      <c r="J38" s="57" t="inlineStr">
        <is>
          <t>FLR</t>
        </is>
      </c>
    </row>
    <row r="39">
      <c r="A39" s="56" t="inlineStr">
        <is>
          <t>edit →</t>
        </is>
      </c>
      <c r="B39" s="58" t="inlineStr">
        <is>
          <t>editable</t>
        </is>
      </c>
      <c r="C39" s="58" t="inlineStr">
        <is>
          <t>editable</t>
        </is>
      </c>
      <c r="D39" s="58" t="inlineStr">
        <is>
          <t>editable</t>
        </is>
      </c>
      <c r="E39" s="58" t="inlineStr">
        <is>
          <t>editable</t>
        </is>
      </c>
      <c r="F39" s="58" t="inlineStr">
        <is>
          <t>editable</t>
        </is>
      </c>
      <c r="G39" s="58" t="inlineStr">
        <is>
          <t>editable</t>
        </is>
      </c>
      <c r="H39" s="58" t="inlineStr">
        <is>
          <t>editable</t>
        </is>
      </c>
      <c r="I39" s="58" t="inlineStr">
        <is>
          <t>formula</t>
        </is>
      </c>
      <c r="J39" s="58" t="inlineStr">
        <is>
          <t>formula</t>
        </is>
      </c>
    </row>
    <row r="40">
      <c r="A40" s="56" t="n">
        <v>1</v>
      </c>
      <c r="B40" s="59" t="inlineStr">
        <is>
          <t>Kitchen floor, A-101</t>
        </is>
      </c>
      <c r="C40" s="60" t="n">
        <v>1</v>
      </c>
      <c r="D40" s="60" t="n">
        <v>0</v>
      </c>
      <c r="E40" s="60" t="n">
        <v>0</v>
      </c>
      <c r="F40" s="59" t="inlineStr">
        <is>
          <t>FLR</t>
        </is>
      </c>
      <c r="G40" s="84" t="n">
        <v>31.215</v>
      </c>
      <c r="H40" s="84" t="n">
        <v>1</v>
      </c>
      <c r="I40" s="85">
        <f>(IF(G40&gt;0,C40*G40,C40*D40*E40))*H40</f>
        <v/>
      </c>
      <c r="J40" s="85">
        <f>IF($F40=J$38,I40,0)</f>
        <v/>
      </c>
    </row>
    <row r="41">
      <c r="A41" s="56" t="inlineStr">
        <is>
          <t>note: linked to the Backup sheet as m2 x 10.7639 = SF</t>
        </is>
      </c>
      <c r="I41" s="86">
        <f>SUM(I40:I40)</f>
        <v/>
      </c>
      <c r="J41" s="86">
        <f>SUM(J40:J40)</f>
        <v/>
      </c>
    </row>
    <row r="42"/>
    <row r="43"/>
    <row r="44">
      <c r="A44" s="21" t="inlineStr">
        <is>
          <t>Sealed concrete — Store</t>
        </is>
      </c>
      <c r="G44" s="56" t="inlineStr">
        <is>
          <t>09 65 00 | flooring | A-602</t>
        </is>
      </c>
    </row>
    <row r="45">
      <c r="A45"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46">
      <c r="A46" s="57" t="inlineStr">
        <is>
          <t>#</t>
        </is>
      </c>
      <c r="B46" s="57" t="inlineStr">
        <is>
          <t>Room / Zone</t>
        </is>
      </c>
      <c r="C46" s="57" t="inlineStr">
        <is>
          <t>No.</t>
        </is>
      </c>
      <c r="D46" s="57" t="inlineStr">
        <is>
          <t>Length
(m)</t>
        </is>
      </c>
      <c r="E46" s="57" t="inlineStr">
        <is>
          <t>Width
(m)</t>
        </is>
      </c>
      <c r="F46" s="57" t="inlineStr">
        <is>
          <t>Finish code</t>
        </is>
      </c>
      <c r="G46" s="57" t="inlineStr">
        <is>
          <t>Area (measured directly)
(m2)</t>
        </is>
      </c>
      <c r="H46" s="57" t="inlineStr">
        <is>
          <t>Factor</t>
        </is>
      </c>
      <c r="I46" s="57" t="inlineStr">
        <is>
          <t>Area
(m2)</t>
        </is>
      </c>
      <c r="J46" s="57" t="inlineStr">
        <is>
          <t>FLR</t>
        </is>
      </c>
    </row>
    <row r="47">
      <c r="A47" s="56" t="inlineStr">
        <is>
          <t>edit →</t>
        </is>
      </c>
      <c r="B47" s="58" t="inlineStr">
        <is>
          <t>editable</t>
        </is>
      </c>
      <c r="C47" s="58" t="inlineStr">
        <is>
          <t>editable</t>
        </is>
      </c>
      <c r="D47" s="58" t="inlineStr">
        <is>
          <t>editable</t>
        </is>
      </c>
      <c r="E47" s="58" t="inlineStr">
        <is>
          <t>editable</t>
        </is>
      </c>
      <c r="F47" s="58" t="inlineStr">
        <is>
          <t>editable</t>
        </is>
      </c>
      <c r="G47" s="58" t="inlineStr">
        <is>
          <t>editable</t>
        </is>
      </c>
      <c r="H47" s="58" t="inlineStr">
        <is>
          <t>editable</t>
        </is>
      </c>
      <c r="I47" s="58" t="inlineStr">
        <is>
          <t>formula</t>
        </is>
      </c>
      <c r="J47" s="58" t="inlineStr">
        <is>
          <t>formula</t>
        </is>
      </c>
    </row>
    <row r="48">
      <c r="A48" s="56" t="n">
        <v>1</v>
      </c>
      <c r="B48" s="59" t="inlineStr">
        <is>
          <t>Store floor, A-101</t>
        </is>
      </c>
      <c r="C48" s="60" t="n">
        <v>1</v>
      </c>
      <c r="D48" s="60" t="n">
        <v>0</v>
      </c>
      <c r="E48" s="60" t="n">
        <v>0</v>
      </c>
      <c r="F48" s="59" t="inlineStr">
        <is>
          <t>FLR</t>
        </is>
      </c>
      <c r="G48" s="84" t="n">
        <v>15.608</v>
      </c>
      <c r="H48" s="84" t="n">
        <v>1</v>
      </c>
      <c r="I48" s="85">
        <f>(IF(G48&gt;0,C48*G48,C48*D48*E48))*H48</f>
        <v/>
      </c>
      <c r="J48" s="85">
        <f>IF($F48=J$46,I48,0)</f>
        <v/>
      </c>
    </row>
    <row r="49">
      <c r="A49" s="56" t="inlineStr">
        <is>
          <t>note: linked to the Backup sheet as m2 x 10.7639 = SF</t>
        </is>
      </c>
      <c r="I49" s="86">
        <f>SUM(I48:I48)</f>
        <v/>
      </c>
      <c r="J49" s="86">
        <f>SUM(J48:J48)</f>
        <v/>
      </c>
    </row>
    <row r="50"/>
    <row r="51"/>
    <row r="52">
      <c r="A52" s="21" t="inlineStr">
        <is>
          <t>Porcelain tile 12x24 — Toilet 1</t>
        </is>
      </c>
      <c r="G52" s="56" t="inlineStr">
        <is>
          <t>09 30 00 | flooring | A-602</t>
        </is>
      </c>
    </row>
    <row r="53">
      <c r="A53"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54">
      <c r="A54" s="57" t="inlineStr">
        <is>
          <t>#</t>
        </is>
      </c>
      <c r="B54" s="57" t="inlineStr">
        <is>
          <t>Room / Zone</t>
        </is>
      </c>
      <c r="C54" s="57" t="inlineStr">
        <is>
          <t>No.</t>
        </is>
      </c>
      <c r="D54" s="57" t="inlineStr">
        <is>
          <t>Length
(m)</t>
        </is>
      </c>
      <c r="E54" s="57" t="inlineStr">
        <is>
          <t>Width
(m)</t>
        </is>
      </c>
      <c r="F54" s="57" t="inlineStr">
        <is>
          <t>Finish code</t>
        </is>
      </c>
      <c r="G54" s="57" t="inlineStr">
        <is>
          <t>Area (measured directly)
(m2)</t>
        </is>
      </c>
      <c r="H54" s="57" t="inlineStr">
        <is>
          <t>Factor</t>
        </is>
      </c>
      <c r="I54" s="57" t="inlineStr">
        <is>
          <t>Area
(m2)</t>
        </is>
      </c>
      <c r="J54" s="57" t="inlineStr">
        <is>
          <t>FLR</t>
        </is>
      </c>
    </row>
    <row r="55">
      <c r="A55" s="56" t="inlineStr">
        <is>
          <t>edit →</t>
        </is>
      </c>
      <c r="B55" s="58" t="inlineStr">
        <is>
          <t>editable</t>
        </is>
      </c>
      <c r="C55" s="58" t="inlineStr">
        <is>
          <t>editable</t>
        </is>
      </c>
      <c r="D55" s="58" t="inlineStr">
        <is>
          <t>editable</t>
        </is>
      </c>
      <c r="E55" s="58" t="inlineStr">
        <is>
          <t>editable</t>
        </is>
      </c>
      <c r="F55" s="58" t="inlineStr">
        <is>
          <t>editable</t>
        </is>
      </c>
      <c r="G55" s="58" t="inlineStr">
        <is>
          <t>editable</t>
        </is>
      </c>
      <c r="H55" s="58" t="inlineStr">
        <is>
          <t>editable</t>
        </is>
      </c>
      <c r="I55" s="58" t="inlineStr">
        <is>
          <t>formula</t>
        </is>
      </c>
      <c r="J55" s="58" t="inlineStr">
        <is>
          <t>formula</t>
        </is>
      </c>
    </row>
    <row r="56">
      <c r="A56" s="56" t="n">
        <v>1</v>
      </c>
      <c r="B56" s="59" t="inlineStr">
        <is>
          <t>Toilet 1 floor, A-101</t>
        </is>
      </c>
      <c r="C56" s="60" t="n">
        <v>1</v>
      </c>
      <c r="D56" s="60" t="n">
        <v>0</v>
      </c>
      <c r="E56" s="60" t="n">
        <v>0</v>
      </c>
      <c r="F56" s="59" t="inlineStr">
        <is>
          <t>FLR</t>
        </is>
      </c>
      <c r="G56" s="84" t="n">
        <v>15.608</v>
      </c>
      <c r="H56" s="84" t="n">
        <v>1</v>
      </c>
      <c r="I56" s="85">
        <f>(IF(G56&gt;0,C56*G56,C56*D56*E56))*H56</f>
        <v/>
      </c>
      <c r="J56" s="85">
        <f>IF($F56=J$54,I56,0)</f>
        <v/>
      </c>
    </row>
    <row r="57">
      <c r="A57" s="56" t="inlineStr">
        <is>
          <t>note: linked to the Backup sheet as m2 x 10.7639 = SF</t>
        </is>
      </c>
      <c r="I57" s="86">
        <f>SUM(I56:I56)</f>
        <v/>
      </c>
      <c r="J57" s="86">
        <f>SUM(J56:J56)</f>
        <v/>
      </c>
    </row>
    <row r="58"/>
    <row r="59"/>
    <row r="60">
      <c r="A60" s="21" t="inlineStr">
        <is>
          <t>Porcelain tile 12x24 — Toilet 2</t>
        </is>
      </c>
      <c r="G60" s="56" t="inlineStr">
        <is>
          <t>09 30 00 | flooring | A-602</t>
        </is>
      </c>
    </row>
    <row r="61">
      <c r="A61"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62">
      <c r="A62" s="57" t="inlineStr">
        <is>
          <t>#</t>
        </is>
      </c>
      <c r="B62" s="57" t="inlineStr">
        <is>
          <t>Room / Zone</t>
        </is>
      </c>
      <c r="C62" s="57" t="inlineStr">
        <is>
          <t>No.</t>
        </is>
      </c>
      <c r="D62" s="57" t="inlineStr">
        <is>
          <t>Length
(m)</t>
        </is>
      </c>
      <c r="E62" s="57" t="inlineStr">
        <is>
          <t>Width
(m)</t>
        </is>
      </c>
      <c r="F62" s="57" t="inlineStr">
        <is>
          <t>Finish code</t>
        </is>
      </c>
      <c r="G62" s="57" t="inlineStr">
        <is>
          <t>Area (measured directly)
(m2)</t>
        </is>
      </c>
      <c r="H62" s="57" t="inlineStr">
        <is>
          <t>Factor</t>
        </is>
      </c>
      <c r="I62" s="57" t="inlineStr">
        <is>
          <t>Area
(m2)</t>
        </is>
      </c>
      <c r="J62" s="57" t="inlineStr">
        <is>
          <t>FLR</t>
        </is>
      </c>
    </row>
    <row r="63">
      <c r="A63" s="56" t="inlineStr">
        <is>
          <t>edit →</t>
        </is>
      </c>
      <c r="B63" s="58" t="inlineStr">
        <is>
          <t>editable</t>
        </is>
      </c>
      <c r="C63" s="58" t="inlineStr">
        <is>
          <t>editable</t>
        </is>
      </c>
      <c r="D63" s="58" t="inlineStr">
        <is>
          <t>editable</t>
        </is>
      </c>
      <c r="E63" s="58" t="inlineStr">
        <is>
          <t>editable</t>
        </is>
      </c>
      <c r="F63" s="58" t="inlineStr">
        <is>
          <t>editable</t>
        </is>
      </c>
      <c r="G63" s="58" t="inlineStr">
        <is>
          <t>editable</t>
        </is>
      </c>
      <c r="H63" s="58" t="inlineStr">
        <is>
          <t>editable</t>
        </is>
      </c>
      <c r="I63" s="58" t="inlineStr">
        <is>
          <t>formula</t>
        </is>
      </c>
      <c r="J63" s="58" t="inlineStr">
        <is>
          <t>formula</t>
        </is>
      </c>
    </row>
    <row r="64">
      <c r="A64" s="56" t="n">
        <v>1</v>
      </c>
      <c r="B64" s="59" t="inlineStr">
        <is>
          <t>Toilet 2 floor, A-101</t>
        </is>
      </c>
      <c r="C64" s="60" t="n">
        <v>1</v>
      </c>
      <c r="D64" s="60" t="n">
        <v>0</v>
      </c>
      <c r="E64" s="60" t="n">
        <v>0</v>
      </c>
      <c r="F64" s="59" t="inlineStr">
        <is>
          <t>FLR</t>
        </is>
      </c>
      <c r="G64" s="84" t="n">
        <v>10.405</v>
      </c>
      <c r="H64" s="84" t="n">
        <v>1</v>
      </c>
      <c r="I64" s="85">
        <f>(IF(G64&gt;0,C64*G64,C64*D64*E64))*H64</f>
        <v/>
      </c>
      <c r="J64" s="85">
        <f>IF($F64=J$62,I64,0)</f>
        <v/>
      </c>
    </row>
    <row r="65">
      <c r="A65" s="56" t="inlineStr">
        <is>
          <t>note: linked to the Backup sheet as m2 x 10.7639 = SF</t>
        </is>
      </c>
      <c r="I65" s="86">
        <f>SUM(I64:I64)</f>
        <v/>
      </c>
      <c r="J65" s="86">
        <f>SUM(J64:J64)</f>
        <v/>
      </c>
    </row>
    <row r="66"/>
    <row r="67"/>
    <row r="68">
      <c r="A68" s="21" t="inlineStr">
        <is>
          <t>Sealed concrete — Plant</t>
        </is>
      </c>
      <c r="G68" s="56" t="inlineStr">
        <is>
          <t>09 65 00 | flooring | A-602</t>
        </is>
      </c>
    </row>
    <row r="69">
      <c r="A69"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70">
      <c r="A70" s="57" t="inlineStr">
        <is>
          <t>#</t>
        </is>
      </c>
      <c r="B70" s="57" t="inlineStr">
        <is>
          <t>Room / Zone</t>
        </is>
      </c>
      <c r="C70" s="57" t="inlineStr">
        <is>
          <t>No.</t>
        </is>
      </c>
      <c r="D70" s="57" t="inlineStr">
        <is>
          <t>Length
(m)</t>
        </is>
      </c>
      <c r="E70" s="57" t="inlineStr">
        <is>
          <t>Width
(m)</t>
        </is>
      </c>
      <c r="F70" s="57" t="inlineStr">
        <is>
          <t>Finish code</t>
        </is>
      </c>
      <c r="G70" s="57" t="inlineStr">
        <is>
          <t>Area (measured directly)
(m2)</t>
        </is>
      </c>
      <c r="H70" s="57" t="inlineStr">
        <is>
          <t>Factor</t>
        </is>
      </c>
      <c r="I70" s="57" t="inlineStr">
        <is>
          <t>Area
(m2)</t>
        </is>
      </c>
      <c r="J70" s="57" t="inlineStr">
        <is>
          <t>FLR</t>
        </is>
      </c>
    </row>
    <row r="71">
      <c r="A71" s="56" t="inlineStr">
        <is>
          <t>edit →</t>
        </is>
      </c>
      <c r="B71" s="58" t="inlineStr">
        <is>
          <t>editable</t>
        </is>
      </c>
      <c r="C71" s="58" t="inlineStr">
        <is>
          <t>editable</t>
        </is>
      </c>
      <c r="D71" s="58" t="inlineStr">
        <is>
          <t>editable</t>
        </is>
      </c>
      <c r="E71" s="58" t="inlineStr">
        <is>
          <t>editable</t>
        </is>
      </c>
      <c r="F71" s="58" t="inlineStr">
        <is>
          <t>editable</t>
        </is>
      </c>
      <c r="G71" s="58" t="inlineStr">
        <is>
          <t>editable</t>
        </is>
      </c>
      <c r="H71" s="58" t="inlineStr">
        <is>
          <t>editable</t>
        </is>
      </c>
      <c r="I71" s="58" t="inlineStr">
        <is>
          <t>formula</t>
        </is>
      </c>
      <c r="J71" s="58" t="inlineStr">
        <is>
          <t>formula</t>
        </is>
      </c>
    </row>
    <row r="72">
      <c r="A72" s="56" t="n">
        <v>1</v>
      </c>
      <c r="B72" s="59" t="inlineStr">
        <is>
          <t>Plant floor, A-101</t>
        </is>
      </c>
      <c r="C72" s="60" t="n">
        <v>1</v>
      </c>
      <c r="D72" s="60" t="n">
        <v>0</v>
      </c>
      <c r="E72" s="60" t="n">
        <v>0</v>
      </c>
      <c r="F72" s="59" t="inlineStr">
        <is>
          <t>FLR</t>
        </is>
      </c>
      <c r="G72" s="84" t="n">
        <v>10.405</v>
      </c>
      <c r="H72" s="84" t="n">
        <v>1</v>
      </c>
      <c r="I72" s="85">
        <f>(IF(G72&gt;0,C72*G72,C72*D72*E72))*H72</f>
        <v/>
      </c>
      <c r="J72" s="85">
        <f>IF($F72=J$70,I72,0)</f>
        <v/>
      </c>
    </row>
    <row r="73">
      <c r="A73" s="56" t="inlineStr">
        <is>
          <t>note: linked to the Backup sheet as m2 x 10.7639 = SF</t>
        </is>
      </c>
      <c r="I73" s="86">
        <f>SUM(I72:I72)</f>
        <v/>
      </c>
      <c r="J73" s="86">
        <f>SUM(J72:J72)</f>
        <v/>
      </c>
    </row>
    <row r="74"/>
    <row r="75"/>
    <row r="76">
      <c r="A76" s="21" t="inlineStr">
        <is>
          <t>Suspended acoustical ceiling, 2x2 lay-in, at 9'-0 AFF</t>
        </is>
      </c>
      <c r="G76" s="56" t="inlineStr">
        <is>
          <t>09 51 00 | acoustical ceilings | A-102, A-602</t>
        </is>
      </c>
    </row>
    <row r="77">
      <c r="A77"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78">
      <c r="A78" s="57" t="inlineStr">
        <is>
          <t>#</t>
        </is>
      </c>
      <c r="B78" s="57" t="inlineStr">
        <is>
          <t>Room / Zone</t>
        </is>
      </c>
      <c r="C78" s="57" t="inlineStr">
        <is>
          <t>No.</t>
        </is>
      </c>
      <c r="D78" s="57" t="inlineStr">
        <is>
          <t>Length
(m)</t>
        </is>
      </c>
      <c r="E78" s="57" t="inlineStr">
        <is>
          <t>Width
(m)</t>
        </is>
      </c>
      <c r="F78" s="57" t="inlineStr">
        <is>
          <t>Finish code</t>
        </is>
      </c>
      <c r="G78" s="57" t="inlineStr">
        <is>
          <t>Area (measured directly)
(m2)</t>
        </is>
      </c>
      <c r="H78" s="57" t="inlineStr">
        <is>
          <t>Factor</t>
        </is>
      </c>
      <c r="I78" s="57" t="inlineStr">
        <is>
          <t>Area
(m2)</t>
        </is>
      </c>
      <c r="J78" s="57" t="inlineStr">
        <is>
          <t>ACT</t>
        </is>
      </c>
    </row>
    <row r="79">
      <c r="A79" s="56" t="inlineStr">
        <is>
          <t>edit →</t>
        </is>
      </c>
      <c r="B79" s="58" t="inlineStr">
        <is>
          <t>editable</t>
        </is>
      </c>
      <c r="C79" s="58" t="inlineStr">
        <is>
          <t>editable</t>
        </is>
      </c>
      <c r="D79" s="58" t="inlineStr">
        <is>
          <t>editable</t>
        </is>
      </c>
      <c r="E79" s="58" t="inlineStr">
        <is>
          <t>editable</t>
        </is>
      </c>
      <c r="F79" s="58" t="inlineStr">
        <is>
          <t>editable</t>
        </is>
      </c>
      <c r="G79" s="58" t="inlineStr">
        <is>
          <t>editable</t>
        </is>
      </c>
      <c r="H79" s="58" t="inlineStr">
        <is>
          <t>editable</t>
        </is>
      </c>
      <c r="I79" s="58" t="inlineStr">
        <is>
          <t>formula</t>
        </is>
      </c>
      <c r="J79" s="58" t="inlineStr">
        <is>
          <t>formula</t>
        </is>
      </c>
    </row>
    <row r="80">
      <c r="A80" s="56" t="n">
        <v>1</v>
      </c>
      <c r="B80" s="59" t="inlineStr">
        <is>
          <t>Rooms scheduled ACT on A-602</t>
        </is>
      </c>
      <c r="C80" s="60" t="n">
        <v>1</v>
      </c>
      <c r="D80" s="60" t="n">
        <v>0</v>
      </c>
      <c r="E80" s="60" t="n">
        <v>0</v>
      </c>
      <c r="F80" s="59" t="inlineStr">
        <is>
          <t>ACT</t>
        </is>
      </c>
      <c r="G80" s="84" t="n">
        <v>52.026</v>
      </c>
      <c r="H80" s="84" t="n">
        <v>1</v>
      </c>
      <c r="I80" s="85">
        <f>(IF(G80&gt;0,C80*G80,C80*D80*E80))*H80</f>
        <v/>
      </c>
      <c r="J80" s="85">
        <f>IF($F80=J$78,I80,0)</f>
        <v/>
      </c>
    </row>
    <row r="81">
      <c r="A81" s="56" t="inlineStr">
        <is>
          <t>note: linked to the Backup sheet as m2 x 10.7639 = SF</t>
        </is>
      </c>
      <c r="I81" s="86">
        <f>SUM(I80:I80)</f>
        <v/>
      </c>
      <c r="J81" s="86">
        <f>SUM(J80:J80)</f>
        <v/>
      </c>
    </row>
    <row r="82"/>
    <row r="83"/>
    <row r="84">
      <c r="A84" s="21" t="inlineStr">
        <is>
          <t>Paint, two coats over primer, on masonry and gypsum board wall surfaces</t>
        </is>
      </c>
      <c r="G84" s="56" t="inlineStr">
        <is>
          <t>09 91 00 | painting | A-602</t>
        </is>
      </c>
    </row>
    <row r="85">
      <c r="A85"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86">
      <c r="A86" s="57" t="inlineStr">
        <is>
          <t>#</t>
        </is>
      </c>
      <c r="B86" s="57" t="inlineStr">
        <is>
          <t>Room / Zone</t>
        </is>
      </c>
      <c r="C86" s="57" t="inlineStr">
        <is>
          <t>No.</t>
        </is>
      </c>
      <c r="D86" s="57" t="inlineStr">
        <is>
          <t>Length
(m)</t>
        </is>
      </c>
      <c r="E86" s="57" t="inlineStr">
        <is>
          <t>Width
(m)</t>
        </is>
      </c>
      <c r="F86" s="57" t="inlineStr">
        <is>
          <t>Finish code</t>
        </is>
      </c>
      <c r="G86" s="57" t="inlineStr">
        <is>
          <t>Area (measured directly)
(m2)</t>
        </is>
      </c>
      <c r="H86" s="57" t="inlineStr">
        <is>
          <t>Factor</t>
        </is>
      </c>
      <c r="I86" s="57" t="inlineStr">
        <is>
          <t>Area
(m2)</t>
        </is>
      </c>
      <c r="J86" s="57" t="inlineStr">
        <is>
          <t>PAINT</t>
        </is>
      </c>
    </row>
    <row r="87">
      <c r="A87" s="56" t="inlineStr">
        <is>
          <t>edit →</t>
        </is>
      </c>
      <c r="B87" s="58" t="inlineStr">
        <is>
          <t>editable</t>
        </is>
      </c>
      <c r="C87" s="58" t="inlineStr">
        <is>
          <t>editable</t>
        </is>
      </c>
      <c r="D87" s="58" t="inlineStr">
        <is>
          <t>editable</t>
        </is>
      </c>
      <c r="E87" s="58" t="inlineStr">
        <is>
          <t>editable</t>
        </is>
      </c>
      <c r="F87" s="58" t="inlineStr">
        <is>
          <t>editable</t>
        </is>
      </c>
      <c r="G87" s="58" t="inlineStr">
        <is>
          <t>editable</t>
        </is>
      </c>
      <c r="H87" s="58" t="inlineStr">
        <is>
          <t>editable</t>
        </is>
      </c>
      <c r="I87" s="58" t="inlineStr">
        <is>
          <t>formula</t>
        </is>
      </c>
      <c r="J87" s="58" t="inlineStr">
        <is>
          <t>formula</t>
        </is>
      </c>
    </row>
    <row r="88">
      <c r="A88" s="56" t="n">
        <v>1</v>
      </c>
      <c r="B88" s="59" t="inlineStr">
        <is>
          <t>Painted wall surfaces per A-602</t>
        </is>
      </c>
      <c r="C88" s="60" t="n">
        <v>1</v>
      </c>
      <c r="D88" s="60" t="n">
        <v>0</v>
      </c>
      <c r="E88" s="60" t="n">
        <v>0</v>
      </c>
      <c r="F88" s="59" t="inlineStr">
        <is>
          <t>PAINT</t>
        </is>
      </c>
      <c r="G88" s="84" t="n">
        <v>683.2089999999999</v>
      </c>
      <c r="H88" s="84" t="n">
        <v>1</v>
      </c>
      <c r="I88" s="85">
        <f>(IF(G88&gt;0,C88*G88,C88*D88*E88))*H88</f>
        <v/>
      </c>
      <c r="J88" s="85">
        <f>IF($F88=J$86,I88,0)</f>
        <v/>
      </c>
    </row>
    <row r="89">
      <c r="A89" s="56" t="inlineStr">
        <is>
          <t>note: linked to the Backup sheet as m2 x 10.7639 = SF</t>
        </is>
      </c>
      <c r="I89" s="86">
        <f>SUM(I88:I88)</f>
        <v/>
      </c>
      <c r="J89" s="86">
        <f>SUM(J88:J88)</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3.xml><?xml version="1.0" encoding="utf-8"?>
<worksheet xmlns="http://schemas.openxmlformats.org/spreadsheetml/2006/main">
  <sheetPr>
    <outlinePr summaryBelow="1" summaryRight="1"/>
    <pageSetUpPr fitToPage="1"/>
  </sheetPr>
  <dimension ref="A1:S9"/>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Plumbing</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'Backup-Plumbing'!B4</f>
        <v/>
      </c>
      <c r="C4" s="17">
        <f>'Backup-Plumbing'!C4</f>
        <v/>
      </c>
      <c r="D4" s="24">
        <f>'Backup-Plumbing'!D4</f>
        <v/>
      </c>
      <c r="E4" s="47" t="n"/>
      <c r="F4" s="47" t="n"/>
      <c r="G4" s="24">
        <f>IF(D4="","",D4*(N(E4)+N(F4)*PREVWAGE*DFACTOR))</f>
        <v/>
      </c>
      <c r="H4" s="17">
        <f>'Backup-Plumbing'!F4</f>
        <v/>
      </c>
      <c r="I4" s="49">
        <f>MATLOSS</f>
        <v/>
      </c>
      <c r="J4" s="49">
        <f>MATMARKUP</f>
        <v/>
      </c>
      <c r="K4" s="49">
        <f>LABMARKUP</f>
        <v/>
      </c>
      <c r="L4" s="24">
        <f>IF(N(E4)=0,0,ROUND(E4*(1+J4),2))</f>
        <v/>
      </c>
      <c r="M4" s="24">
        <f>IF(N(F4)=0,0,ROUND(F4*PREVWAGE*DFACTOR*(1+K4),2))</f>
        <v/>
      </c>
      <c r="N4" s="24">
        <f>IF(D4="","",ROUND(D4*(1+N(I4))*(N(L4)+N(M4)),2))</f>
        <v/>
      </c>
      <c r="O4" s="24">
        <f>IF(D4="","",N(N4)-N(G4))</f>
        <v/>
      </c>
      <c r="P4" s="29" t="n">
        <v>4004.82</v>
      </c>
      <c r="Q4" s="29" t="n">
        <v>7208.68</v>
      </c>
      <c r="R4" s="50" t="inlineStr">
        <is>
          <t>THANCHOR-US-528</t>
        </is>
      </c>
      <c r="S4" s="18" t="n"/>
    </row>
    <row r="5">
      <c r="A5" s="17" t="n">
        <v>2</v>
      </c>
      <c r="B5" s="18">
        <f>'Backup-Plumbing'!B5</f>
        <v/>
      </c>
      <c r="C5" s="17">
        <f>'Backup-Plumbing'!C5</f>
        <v/>
      </c>
      <c r="D5" s="24">
        <f>'Backup-Plumbing'!D5</f>
        <v/>
      </c>
      <c r="E5" s="47" t="n"/>
      <c r="F5" s="47" t="n"/>
      <c r="G5" s="24">
        <f>IF(D5="","",D5*(N(E5)+N(F5)*PREVWAGE*DFACTOR))</f>
        <v/>
      </c>
      <c r="H5" s="17">
        <f>'Backup-Plumbing'!F5</f>
        <v/>
      </c>
      <c r="I5" s="49">
        <f>MATLOSS</f>
        <v/>
      </c>
      <c r="J5" s="49">
        <f>MATMARKUP</f>
        <v/>
      </c>
      <c r="K5" s="49">
        <f>LABMARKUP</f>
        <v/>
      </c>
      <c r="L5" s="24">
        <f>IF(N(E5)=0,0,ROUND(E5*(1+J5),2))</f>
        <v/>
      </c>
      <c r="M5" s="24">
        <f>IF(N(F5)=0,0,ROUND(F5*PREVWAGE*DFACTOR*(1+K5),2))</f>
        <v/>
      </c>
      <c r="N5" s="24">
        <f>IF(D5="","",ROUND(D5*(1+N(I5))*(N(L5)+N(M5)),2))</f>
        <v/>
      </c>
      <c r="O5" s="24">
        <f>IF(D5="","",N(N5)-N(G5))</f>
        <v/>
      </c>
      <c r="P5" s="29" t="n">
        <v>2634.75</v>
      </c>
      <c r="Q5" s="29" t="n">
        <v>4742.55</v>
      </c>
      <c r="R5" s="50" t="inlineStr">
        <is>
          <t>THANCHOR-US-532</t>
        </is>
      </c>
      <c r="S5" s="18" t="n"/>
    </row>
    <row r="6">
      <c r="A6" s="17" t="n">
        <v>3</v>
      </c>
      <c r="B6" s="18">
        <f>'Backup-Plumbing'!B6</f>
        <v/>
      </c>
      <c r="C6" s="17">
        <f>'Backup-Plumbing'!C6</f>
        <v/>
      </c>
      <c r="D6" s="24">
        <f>'Backup-Plumbing'!D6</f>
        <v/>
      </c>
      <c r="E6" s="47" t="n"/>
      <c r="F6" s="47" t="n"/>
      <c r="G6" s="24">
        <f>IF(D6="","",D6*(N(E6)+N(F6)*PREVWAGE*DFACTOR))</f>
        <v/>
      </c>
      <c r="H6" s="17">
        <f>'Backup-Plumbing'!F6</f>
        <v/>
      </c>
      <c r="I6" s="49">
        <f>MATLOSS</f>
        <v/>
      </c>
      <c r="J6" s="49">
        <f>MATMARKUP</f>
        <v/>
      </c>
      <c r="K6" s="49">
        <f>LABMARKUP</f>
        <v/>
      </c>
      <c r="L6" s="24">
        <f>IF(N(E6)=0,0,ROUND(E6*(1+J6),2))</f>
        <v/>
      </c>
      <c r="M6" s="24">
        <f>IF(N(F6)=0,0,ROUND(F6*PREVWAGE*DFACTOR*(1+K6),2))</f>
        <v/>
      </c>
      <c r="N6" s="24">
        <f>IF(D6="","",ROUND(D6*(1+N(I6))*(N(L6)+N(M6)),2))</f>
        <v/>
      </c>
      <c r="O6" s="24">
        <f>IF(D6="","",N(N6)-N(G6))</f>
        <v/>
      </c>
      <c r="P6" s="29" t="n">
        <v>4004.82</v>
      </c>
      <c r="Q6" s="29" t="n">
        <v>7208.68</v>
      </c>
      <c r="R6" s="50" t="inlineStr">
        <is>
          <t>THANCHOR-US-530</t>
        </is>
      </c>
      <c r="S6" s="18" t="n"/>
    </row>
    <row r="7">
      <c r="A7" s="17" t="n">
        <v>4</v>
      </c>
      <c r="B7" s="18">
        <f>'Backup-Plumbing'!B7</f>
        <v/>
      </c>
      <c r="C7" s="17">
        <f>'Backup-Plumbing'!C7</f>
        <v/>
      </c>
      <c r="D7" s="24">
        <f>'Backup-Plumbing'!D7</f>
        <v/>
      </c>
      <c r="E7" s="44" t="n"/>
      <c r="F7" s="44" t="n"/>
      <c r="G7" s="24">
        <f>IF(D7="","",D7*(N(E7)+N(F7)*PREVWAGE*DFACTOR))</f>
        <v/>
      </c>
      <c r="H7" s="17">
        <f>'Backup-Plumbing'!F7</f>
        <v/>
      </c>
      <c r="I7" s="49">
        <f>MATLOSS</f>
        <v/>
      </c>
      <c r="J7" s="49">
        <f>MATMARKUP</f>
        <v/>
      </c>
      <c r="K7" s="49">
        <f>LABMARKUP</f>
        <v/>
      </c>
      <c r="L7" s="24">
        <f>IF(N(E7)=0,0,ROUND(E7*(1+J7),2))</f>
        <v/>
      </c>
      <c r="M7" s="24">
        <f>IF(N(F7)=0,0,ROUND(F7*PREVWAGE*DFACTOR*(1+K7),2))</f>
        <v/>
      </c>
      <c r="N7" s="24">
        <f>IF(D7="","",ROUND(D7*(1+N(I7))*(N(L7)+N(M7)),2))</f>
        <v/>
      </c>
      <c r="O7" s="24">
        <f>IF(D7="","",N(N7)-N(G7))</f>
        <v/>
      </c>
      <c r="P7" s="24" t="n"/>
      <c r="Q7" s="24" t="n"/>
      <c r="R7" s="17" t="n"/>
      <c r="S7" s="18" t="n"/>
    </row>
    <row r="8">
      <c r="A8" s="17" t="n">
        <v>5</v>
      </c>
      <c r="B8" s="18">
        <f>'Backup-Plumbing'!B8</f>
        <v/>
      </c>
      <c r="C8" s="17">
        <f>'Backup-Plumbing'!C8</f>
        <v/>
      </c>
      <c r="D8" s="24">
        <f>'Backup-Plumbing'!D8</f>
        <v/>
      </c>
      <c r="E8" s="47" t="n"/>
      <c r="F8" s="47" t="n"/>
      <c r="G8" s="24">
        <f>IF(D8="","",D8*(N(E8)+N(F8)*PREVWAGE*DFACTOR))</f>
        <v/>
      </c>
      <c r="H8" s="17">
        <f>'Backup-Plumbing'!F8</f>
        <v/>
      </c>
      <c r="I8" s="49">
        <f>MATLOSS</f>
        <v/>
      </c>
      <c r="J8" s="49">
        <f>MATMARKUP</f>
        <v/>
      </c>
      <c r="K8" s="49">
        <f>LABMARKUP</f>
        <v/>
      </c>
      <c r="L8" s="24">
        <f>IF(N(E8)=0,0,ROUND(E8*(1+J8),2))</f>
        <v/>
      </c>
      <c r="M8" s="24">
        <f>IF(N(F8)=0,0,ROUND(F8*PREVWAGE*DFACTOR*(1+K8),2))</f>
        <v/>
      </c>
      <c r="N8" s="24">
        <f>IF(D8="","",ROUND(D8*(1+N(I8))*(N(L8)+N(M8)),2))</f>
        <v/>
      </c>
      <c r="O8" s="24">
        <f>IF(D8="","",N(N8)-N(G8))</f>
        <v/>
      </c>
      <c r="P8" s="29" t="n">
        <v>10454</v>
      </c>
      <c r="Q8" s="29" t="n">
        <v>18817.2</v>
      </c>
      <c r="R8" s="50" t="inlineStr">
        <is>
          <t>THANCHOR-US-543</t>
        </is>
      </c>
      <c r="S8" s="18" t="n"/>
    </row>
    <row r="9">
      <c r="B9" s="25" t="inlineStr">
        <is>
          <t>Plumbing — Direct Subtotal</t>
        </is>
      </c>
      <c r="G9" s="48">
        <f>SUM(G4:G8)</f>
        <v/>
      </c>
      <c r="N9" s="48">
        <f>SUM(N4:N8)</f>
        <v/>
      </c>
      <c r="O9" s="48">
        <f>SUM(O4:O8)</f>
        <v/>
      </c>
      <c r="P9" s="54">
        <f>SUMPRODUCT(D4:D8,P4:P8)</f>
        <v/>
      </c>
      <c r="Q9" s="54">
        <f>SUMPRODUCT(D4:D8,Q4:Q8)</f>
        <v/>
      </c>
      <c r="R9"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4.xml><?xml version="1.0" encoding="utf-8"?>
<worksheet xmlns="http://schemas.openxmlformats.org/spreadsheetml/2006/main">
  <sheetPr>
    <outlinePr summaryBelow="1" summaryRight="1"/>
    <pageSetUpPr fitToPage="1"/>
  </sheetPr>
  <dimension ref="A1:I8"/>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Plumbing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Water closet, floor mounted, flush valve (mark WC)</t>
        </is>
      </c>
      <c r="C4" s="17" t="inlineStr">
        <is>
          <t>EA</t>
        </is>
      </c>
      <c r="D4" s="24">
        <f>'Calc-Plumbing'!I9</f>
        <v/>
      </c>
      <c r="E4" s="17" t="inlineStr">
        <is>
          <t>P-101</t>
        </is>
      </c>
      <c r="F4" s="17" t="n">
        <v>1</v>
      </c>
      <c r="G4" s="18" t="inlineStr">
        <is>
          <t>Straight off the fixture schedule.</t>
        </is>
      </c>
      <c r="H4" s="18" t="inlineStr">
        <is>
          <t>None</t>
        </is>
      </c>
      <c r="I4" s="18" t="inlineStr">
        <is>
          <t>22 40 00</t>
        </is>
      </c>
    </row>
    <row r="5">
      <c r="A5" s="17" t="n">
        <v>2</v>
      </c>
      <c r="B5" s="18" t="inlineStr">
        <is>
          <t>Lavatory, wall hung, sensor faucet (mark LAV)</t>
        </is>
      </c>
      <c r="C5" s="17" t="inlineStr">
        <is>
          <t>EA</t>
        </is>
      </c>
      <c r="D5" s="24">
        <f>'Calc-Plumbing'!I16</f>
        <v/>
      </c>
      <c r="E5" s="17" t="inlineStr">
        <is>
          <t>P-101</t>
        </is>
      </c>
      <c r="F5" s="17" t="n">
        <v>1</v>
      </c>
      <c r="G5" s="18" t="inlineStr">
        <is>
          <t>Straight off the fixture schedule.</t>
        </is>
      </c>
      <c r="H5" s="18" t="inlineStr">
        <is>
          <t>None</t>
        </is>
      </c>
      <c r="I5" s="18" t="inlineStr">
        <is>
          <t>22 40 00</t>
        </is>
      </c>
    </row>
    <row r="6">
      <c r="A6" s="17" t="n">
        <v>3</v>
      </c>
      <c r="B6" s="18" t="inlineStr">
        <is>
          <t>Urinal, wall hung (mark UR)</t>
        </is>
      </c>
      <c r="C6" s="17" t="inlineStr">
        <is>
          <t>EA</t>
        </is>
      </c>
      <c r="D6" s="24">
        <f>'Calc-Plumbing'!I23</f>
        <v/>
      </c>
      <c r="E6" s="17" t="inlineStr">
        <is>
          <t>P-101</t>
        </is>
      </c>
      <c r="F6" s="17" t="n">
        <v>1</v>
      </c>
      <c r="G6" s="18" t="inlineStr">
        <is>
          <t>Straight off the fixture schedule.</t>
        </is>
      </c>
      <c r="H6" s="18" t="inlineStr">
        <is>
          <t>None</t>
        </is>
      </c>
      <c r="I6" s="18" t="inlineStr">
        <is>
          <t>22 40 00</t>
        </is>
      </c>
    </row>
    <row r="7">
      <c r="A7" s="17" t="n">
        <v>4</v>
      </c>
      <c r="B7" s="18" t="inlineStr">
        <is>
          <t>Kitchen sink, three compartment (mark SK)</t>
        </is>
      </c>
      <c r="C7" s="17" t="inlineStr">
        <is>
          <t>EA</t>
        </is>
      </c>
      <c r="D7" s="24">
        <f>'Calc-Plumbing'!I30</f>
        <v/>
      </c>
      <c r="E7" s="17" t="inlineStr">
        <is>
          <t>P-101</t>
        </is>
      </c>
      <c r="F7" s="17" t="n">
        <v>1</v>
      </c>
      <c r="G7" s="18" t="inlineStr">
        <is>
          <t>Straight off the fixture schedule.</t>
        </is>
      </c>
      <c r="H7" s="18" t="inlineStr">
        <is>
          <t>None</t>
        </is>
      </c>
      <c r="I7" s="18" t="inlineStr">
        <is>
          <t>22 40 00</t>
        </is>
      </c>
    </row>
    <row r="8">
      <c r="A8" s="17" t="n">
        <v>5</v>
      </c>
      <c r="B8" s="18" t="inlineStr">
        <is>
          <t>Water heater, 80 gal electric (mark WH)</t>
        </is>
      </c>
      <c r="C8" s="17" t="inlineStr">
        <is>
          <t>EA</t>
        </is>
      </c>
      <c r="D8" s="24">
        <f>'Calc-Plumbing'!I37</f>
        <v/>
      </c>
      <c r="E8" s="17" t="inlineStr">
        <is>
          <t>P-101</t>
        </is>
      </c>
      <c r="F8" s="17" t="n">
        <v>1</v>
      </c>
      <c r="G8" s="18" t="inlineStr">
        <is>
          <t>Straight off the fixture schedule.</t>
        </is>
      </c>
      <c r="H8" s="18" t="inlineStr">
        <is>
          <t>None</t>
        </is>
      </c>
      <c r="I8" s="18" t="inlineStr">
        <is>
          <t>22 40 00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5.xml><?xml version="1.0" encoding="utf-8"?>
<worksheet xmlns="http://schemas.openxmlformats.org/spreadsheetml/2006/main">
  <sheetPr>
    <tabColor rgb="001F4E5F"/>
    <outlinePr summaryBelow="1" summaryRight="1"/>
    <pageSetUpPr fitToPage="1"/>
  </sheetPr>
  <dimension ref="A1:J37"/>
  <sheetViews>
    <sheetView showGridLines="0" workbookViewId="0">
      <pane ySplit="3" topLeftCell="A4" activePane="bottomLeft" state="frozen"/>
      <selection pane="bottomLeft" activeCell="A1" sqref="A1"/>
    </sheetView>
  </sheetViews>
  <sheetFormatPr baseColWidth="8" defaultRowHeight="15"/>
  <cols>
    <col width="32" customWidth="1" min="2" max="2"/>
    <col width="12" customWidth="1" min="3" max="3"/>
    <col width="9" customWidth="1" min="4" max="4"/>
    <col width="9" customWidth="1" min="5" max="5"/>
    <col width="10" customWidth="1" min="6" max="6"/>
    <col width="8" customWidth="1" min="7" max="7"/>
    <col width="34" customWidth="1" min="8" max="8"/>
    <col width="12" customWidth="1" min="9" max="9"/>
    <col width="12" customWidth="1" min="10" max="10"/>
  </cols>
  <sheetData>
    <row r="1">
      <c r="A1" s="55" t="inlineStr">
        <is>
          <t>Calculation sheet — Plumbing</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Water closet, floor mounted, flush valve (mark WC)</t>
        </is>
      </c>
      <c r="G4" s="56" t="inlineStr">
        <is>
          <t>22 40 00 | plumbing fixtures | P-101</t>
        </is>
      </c>
    </row>
    <row r="5">
      <c r="A5"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6">
      <c r="A6" s="57" t="inlineStr">
        <is>
          <t>#</t>
        </is>
      </c>
      <c r="B6" s="57" t="inlineStr">
        <is>
          <t>Type / Location</t>
        </is>
      </c>
      <c r="C6" s="57" t="inlineStr">
        <is>
          <t>Type mark</t>
        </is>
      </c>
      <c r="D6" s="57" t="inlineStr">
        <is>
          <t>Width
(m)</t>
        </is>
      </c>
      <c r="E6" s="57" t="inlineStr">
        <is>
          <t>Height
(m)</t>
        </is>
      </c>
      <c r="F6" s="57" t="inlineStr">
        <is>
          <t>Per unit</t>
        </is>
      </c>
      <c r="G6" s="57" t="inlineStr">
        <is>
          <t>No.</t>
        </is>
      </c>
      <c r="H6" s="57" t="inlineStr">
        <is>
          <t>Basis / Source</t>
        </is>
      </c>
      <c r="I6" s="57" t="inlineStr">
        <is>
          <t>Quantity
(ea)</t>
        </is>
      </c>
      <c r="J6" s="57" t="inlineStr">
        <is>
          <t>Leaf area
(m2)</t>
        </is>
      </c>
    </row>
    <row r="7">
      <c r="A7" s="56" t="inlineStr">
        <is>
          <t>edit →</t>
        </is>
      </c>
      <c r="B7" s="58" t="inlineStr">
        <is>
          <t>editable</t>
        </is>
      </c>
      <c r="C7" s="58" t="inlineStr">
        <is>
          <t>editable</t>
        </is>
      </c>
      <c r="D7" s="58" t="inlineStr">
        <is>
          <t>editable</t>
        </is>
      </c>
      <c r="E7" s="58" t="inlineStr">
        <is>
          <t>editable</t>
        </is>
      </c>
      <c r="F7" s="58" t="inlineStr">
        <is>
          <t>editable</t>
        </is>
      </c>
      <c r="G7" s="58" t="inlineStr">
        <is>
          <t>editable</t>
        </is>
      </c>
      <c r="H7" s="58" t="inlineStr">
        <is>
          <t>editable</t>
        </is>
      </c>
      <c r="I7" s="58" t="inlineStr">
        <is>
          <t>formula</t>
        </is>
      </c>
      <c r="J7" s="58" t="inlineStr">
        <is>
          <t>formula</t>
        </is>
      </c>
    </row>
    <row r="8">
      <c r="A8" s="56" t="n">
        <v>1</v>
      </c>
      <c r="B8" s="59" t="inlineStr">
        <is>
          <t>6 no. scheduled on P-101</t>
        </is>
      </c>
      <c r="C8" s="59" t="n"/>
      <c r="D8" s="60" t="n"/>
      <c r="E8" s="60" t="n"/>
      <c r="F8" s="60" t="n">
        <v>1</v>
      </c>
      <c r="G8" s="60" t="n">
        <v>6</v>
      </c>
      <c r="H8" s="59" t="n"/>
      <c r="I8" s="85">
        <f>G8*F8</f>
        <v/>
      </c>
      <c r="J8" s="85">
        <f>G8*D8*E8</f>
        <v/>
      </c>
    </row>
    <row r="9">
      <c r="A9" s="64" t="inlineStr">
        <is>
          <t>TOTAL</t>
        </is>
      </c>
      <c r="I9" s="86">
        <f>SUM(I8:I8)</f>
        <v/>
      </c>
      <c r="J9" s="86">
        <f>SUM(J8:J8)</f>
        <v/>
      </c>
    </row>
    <row r="10"/>
    <row r="11">
      <c r="A11" s="21" t="inlineStr">
        <is>
          <t>Lavatory, wall hung, sensor faucet (mark LAV)</t>
        </is>
      </c>
      <c r="G11" s="56" t="inlineStr">
        <is>
          <t>22 40 00 | plumbing fixtures | P-101</t>
        </is>
      </c>
    </row>
    <row r="12">
      <c r="A12"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13">
      <c r="A13" s="57" t="inlineStr">
        <is>
          <t>#</t>
        </is>
      </c>
      <c r="B13" s="57" t="inlineStr">
        <is>
          <t>Type / Location</t>
        </is>
      </c>
      <c r="C13" s="57" t="inlineStr">
        <is>
          <t>Type mark</t>
        </is>
      </c>
      <c r="D13" s="57" t="inlineStr">
        <is>
          <t>Width
(m)</t>
        </is>
      </c>
      <c r="E13" s="57" t="inlineStr">
        <is>
          <t>Height
(m)</t>
        </is>
      </c>
      <c r="F13" s="57" t="inlineStr">
        <is>
          <t>Per unit</t>
        </is>
      </c>
      <c r="G13" s="57" t="inlineStr">
        <is>
          <t>No.</t>
        </is>
      </c>
      <c r="H13" s="57" t="inlineStr">
        <is>
          <t>Basis / Source</t>
        </is>
      </c>
      <c r="I13" s="57" t="inlineStr">
        <is>
          <t>Quantity
(ea)</t>
        </is>
      </c>
      <c r="J13" s="57" t="inlineStr">
        <is>
          <t>Leaf area
(m2)</t>
        </is>
      </c>
    </row>
    <row r="14">
      <c r="A14" s="56" t="inlineStr">
        <is>
          <t>edit →</t>
        </is>
      </c>
      <c r="B14" s="58" t="inlineStr">
        <is>
          <t>editable</t>
        </is>
      </c>
      <c r="C14" s="58" t="inlineStr">
        <is>
          <t>editable</t>
        </is>
      </c>
      <c r="D14" s="58" t="inlineStr">
        <is>
          <t>editable</t>
        </is>
      </c>
      <c r="E14" s="58" t="inlineStr">
        <is>
          <t>editable</t>
        </is>
      </c>
      <c r="F14" s="58" t="inlineStr">
        <is>
          <t>editable</t>
        </is>
      </c>
      <c r="G14" s="58" t="inlineStr">
        <is>
          <t>editable</t>
        </is>
      </c>
      <c r="H14" s="58" t="inlineStr">
        <is>
          <t>editable</t>
        </is>
      </c>
      <c r="I14" s="58" t="inlineStr">
        <is>
          <t>formula</t>
        </is>
      </c>
      <c r="J14" s="58" t="inlineStr">
        <is>
          <t>formula</t>
        </is>
      </c>
    </row>
    <row r="15">
      <c r="A15" s="56" t="n">
        <v>1</v>
      </c>
      <c r="B15" s="59" t="inlineStr">
        <is>
          <t>6 no. scheduled on P-101</t>
        </is>
      </c>
      <c r="C15" s="59" t="n"/>
      <c r="D15" s="60" t="n"/>
      <c r="E15" s="60" t="n"/>
      <c r="F15" s="60" t="n">
        <v>1</v>
      </c>
      <c r="G15" s="60" t="n">
        <v>6</v>
      </c>
      <c r="H15" s="59" t="n"/>
      <c r="I15" s="85">
        <f>G15*F15</f>
        <v/>
      </c>
      <c r="J15" s="85">
        <f>G15*D15*E15</f>
        <v/>
      </c>
    </row>
    <row r="16">
      <c r="A16" s="64" t="inlineStr">
        <is>
          <t>TOTAL</t>
        </is>
      </c>
      <c r="I16" s="86">
        <f>SUM(I15:I15)</f>
        <v/>
      </c>
      <c r="J16" s="86">
        <f>SUM(J15:J15)</f>
        <v/>
      </c>
    </row>
    <row r="17"/>
    <row r="18">
      <c r="A18" s="21" t="inlineStr">
        <is>
          <t>Urinal, wall hung (mark UR)</t>
        </is>
      </c>
      <c r="G18" s="56" t="inlineStr">
        <is>
          <t>22 40 00 | plumbing fixtures | P-101</t>
        </is>
      </c>
    </row>
    <row r="19">
      <c r="A19"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0">
      <c r="A20" s="57" t="inlineStr">
        <is>
          <t>#</t>
        </is>
      </c>
      <c r="B20" s="57" t="inlineStr">
        <is>
          <t>Type / Location</t>
        </is>
      </c>
      <c r="C20" s="57" t="inlineStr">
        <is>
          <t>Type mark</t>
        </is>
      </c>
      <c r="D20" s="57" t="inlineStr">
        <is>
          <t>Width
(m)</t>
        </is>
      </c>
      <c r="E20" s="57" t="inlineStr">
        <is>
          <t>Height
(m)</t>
        </is>
      </c>
      <c r="F20" s="57" t="inlineStr">
        <is>
          <t>Per unit</t>
        </is>
      </c>
      <c r="G20" s="57" t="inlineStr">
        <is>
          <t>No.</t>
        </is>
      </c>
      <c r="H20" s="57" t="inlineStr">
        <is>
          <t>Basis / Source</t>
        </is>
      </c>
      <c r="I20" s="57" t="inlineStr">
        <is>
          <t>Quantity
(ea)</t>
        </is>
      </c>
      <c r="J20" s="57" t="inlineStr">
        <is>
          <t>Leaf area
(m2)</t>
        </is>
      </c>
    </row>
    <row r="21">
      <c r="A21" s="56" t="inlineStr">
        <is>
          <t>edit →</t>
        </is>
      </c>
      <c r="B21" s="58" t="inlineStr">
        <is>
          <t>editable</t>
        </is>
      </c>
      <c r="C21" s="58" t="inlineStr">
        <is>
          <t>editable</t>
        </is>
      </c>
      <c r="D21" s="58" t="inlineStr">
        <is>
          <t>editable</t>
        </is>
      </c>
      <c r="E21" s="58" t="inlineStr">
        <is>
          <t>editable</t>
        </is>
      </c>
      <c r="F21" s="58" t="inlineStr">
        <is>
          <t>editable</t>
        </is>
      </c>
      <c r="G21" s="58" t="inlineStr">
        <is>
          <t>editable</t>
        </is>
      </c>
      <c r="H21" s="58" t="inlineStr">
        <is>
          <t>editable</t>
        </is>
      </c>
      <c r="I21" s="58" t="inlineStr">
        <is>
          <t>formula</t>
        </is>
      </c>
      <c r="J21" s="58" t="inlineStr">
        <is>
          <t>formula</t>
        </is>
      </c>
    </row>
    <row r="22">
      <c r="A22" s="56" t="n">
        <v>1</v>
      </c>
      <c r="B22" s="59" t="inlineStr">
        <is>
          <t>2 no. scheduled on P-101</t>
        </is>
      </c>
      <c r="C22" s="59" t="n"/>
      <c r="D22" s="60" t="n"/>
      <c r="E22" s="60" t="n"/>
      <c r="F22" s="60" t="n">
        <v>1</v>
      </c>
      <c r="G22" s="60" t="n">
        <v>2</v>
      </c>
      <c r="H22" s="59" t="n"/>
      <c r="I22" s="85">
        <f>G22*F22</f>
        <v/>
      </c>
      <c r="J22" s="85">
        <f>G22*D22*E22</f>
        <v/>
      </c>
    </row>
    <row r="23">
      <c r="A23" s="64" t="inlineStr">
        <is>
          <t>TOTAL</t>
        </is>
      </c>
      <c r="I23" s="86">
        <f>SUM(I22:I22)</f>
        <v/>
      </c>
      <c r="J23" s="86">
        <f>SUM(J22:J22)</f>
        <v/>
      </c>
    </row>
    <row r="24"/>
    <row r="25">
      <c r="A25" s="21" t="inlineStr">
        <is>
          <t>Kitchen sink, three compartment (mark SK)</t>
        </is>
      </c>
      <c r="G25" s="56" t="inlineStr">
        <is>
          <t>22 40 00 | plumbing fixtures | P-101</t>
        </is>
      </c>
    </row>
    <row r="26">
      <c r="A26"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7">
      <c r="A27" s="57" t="inlineStr">
        <is>
          <t>#</t>
        </is>
      </c>
      <c r="B27" s="57" t="inlineStr">
        <is>
          <t>Type / Location</t>
        </is>
      </c>
      <c r="C27" s="57" t="inlineStr">
        <is>
          <t>Type mark</t>
        </is>
      </c>
      <c r="D27" s="57" t="inlineStr">
        <is>
          <t>Width
(m)</t>
        </is>
      </c>
      <c r="E27" s="57" t="inlineStr">
        <is>
          <t>Height
(m)</t>
        </is>
      </c>
      <c r="F27" s="57" t="inlineStr">
        <is>
          <t>Per unit</t>
        </is>
      </c>
      <c r="G27" s="57" t="inlineStr">
        <is>
          <t>No.</t>
        </is>
      </c>
      <c r="H27" s="57" t="inlineStr">
        <is>
          <t>Basis / Source</t>
        </is>
      </c>
      <c r="I27" s="57" t="inlineStr">
        <is>
          <t>Quantity
(ea)</t>
        </is>
      </c>
      <c r="J27" s="57" t="inlineStr">
        <is>
          <t>Leaf area
(m2)</t>
        </is>
      </c>
    </row>
    <row r="28">
      <c r="A28" s="56" t="inlineStr">
        <is>
          <t>edit →</t>
        </is>
      </c>
      <c r="B28" s="58" t="inlineStr">
        <is>
          <t>editable</t>
        </is>
      </c>
      <c r="C28" s="58" t="inlineStr">
        <is>
          <t>editable</t>
        </is>
      </c>
      <c r="D28" s="58" t="inlineStr">
        <is>
          <t>editable</t>
        </is>
      </c>
      <c r="E28" s="58" t="inlineStr">
        <is>
          <t>editable</t>
        </is>
      </c>
      <c r="F28" s="58" t="inlineStr">
        <is>
          <t>editable</t>
        </is>
      </c>
      <c r="G28" s="58" t="inlineStr">
        <is>
          <t>editable</t>
        </is>
      </c>
      <c r="H28" s="58" t="inlineStr">
        <is>
          <t>editable</t>
        </is>
      </c>
      <c r="I28" s="58" t="inlineStr">
        <is>
          <t>formula</t>
        </is>
      </c>
      <c r="J28" s="58" t="inlineStr">
        <is>
          <t>formula</t>
        </is>
      </c>
    </row>
    <row r="29">
      <c r="A29" s="56" t="n">
        <v>1</v>
      </c>
      <c r="B29" s="59" t="inlineStr">
        <is>
          <t>1 no. scheduled on P-101</t>
        </is>
      </c>
      <c r="C29" s="59" t="n"/>
      <c r="D29" s="60" t="n"/>
      <c r="E29" s="60" t="n"/>
      <c r="F29" s="60" t="n">
        <v>1</v>
      </c>
      <c r="G29" s="60" t="n">
        <v>1</v>
      </c>
      <c r="H29" s="59" t="n"/>
      <c r="I29" s="85">
        <f>G29*F29</f>
        <v/>
      </c>
      <c r="J29" s="85">
        <f>G29*D29*E29</f>
        <v/>
      </c>
    </row>
    <row r="30">
      <c r="A30" s="64" t="inlineStr">
        <is>
          <t>TOTAL</t>
        </is>
      </c>
      <c r="I30" s="86">
        <f>SUM(I29:I29)</f>
        <v/>
      </c>
      <c r="J30" s="86">
        <f>SUM(J29:J29)</f>
        <v/>
      </c>
    </row>
    <row r="31"/>
    <row r="32">
      <c r="A32" s="21" t="inlineStr">
        <is>
          <t>Water heater, 80 gal electric (mark WH)</t>
        </is>
      </c>
      <c r="G32" s="56" t="inlineStr">
        <is>
          <t>22 40 00 | plumbing fixtures | P-101</t>
        </is>
      </c>
    </row>
    <row r="33">
      <c r="A33"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34">
      <c r="A34" s="57" t="inlineStr">
        <is>
          <t>#</t>
        </is>
      </c>
      <c r="B34" s="57" t="inlineStr">
        <is>
          <t>Type / Location</t>
        </is>
      </c>
      <c r="C34" s="57" t="inlineStr">
        <is>
          <t>Type mark</t>
        </is>
      </c>
      <c r="D34" s="57" t="inlineStr">
        <is>
          <t>Width
(m)</t>
        </is>
      </c>
      <c r="E34" s="57" t="inlineStr">
        <is>
          <t>Height
(m)</t>
        </is>
      </c>
      <c r="F34" s="57" t="inlineStr">
        <is>
          <t>Per unit</t>
        </is>
      </c>
      <c r="G34" s="57" t="inlineStr">
        <is>
          <t>No.</t>
        </is>
      </c>
      <c r="H34" s="57" t="inlineStr">
        <is>
          <t>Basis / Source</t>
        </is>
      </c>
      <c r="I34" s="57" t="inlineStr">
        <is>
          <t>Quantity
(ea)</t>
        </is>
      </c>
      <c r="J34" s="57" t="inlineStr">
        <is>
          <t>Leaf area
(m2)</t>
        </is>
      </c>
    </row>
    <row r="35">
      <c r="A35" s="56" t="inlineStr">
        <is>
          <t>edit →</t>
        </is>
      </c>
      <c r="B35" s="58" t="inlineStr">
        <is>
          <t>editable</t>
        </is>
      </c>
      <c r="C35" s="58" t="inlineStr">
        <is>
          <t>editable</t>
        </is>
      </c>
      <c r="D35" s="58" t="inlineStr">
        <is>
          <t>editable</t>
        </is>
      </c>
      <c r="E35" s="58" t="inlineStr">
        <is>
          <t>editable</t>
        </is>
      </c>
      <c r="F35" s="58" t="inlineStr">
        <is>
          <t>editable</t>
        </is>
      </c>
      <c r="G35" s="58" t="inlineStr">
        <is>
          <t>editable</t>
        </is>
      </c>
      <c r="H35" s="58" t="inlineStr">
        <is>
          <t>editable</t>
        </is>
      </c>
      <c r="I35" s="58" t="inlineStr">
        <is>
          <t>formula</t>
        </is>
      </c>
      <c r="J35" s="58" t="inlineStr">
        <is>
          <t>formula</t>
        </is>
      </c>
    </row>
    <row r="36">
      <c r="A36" s="56" t="n">
        <v>1</v>
      </c>
      <c r="B36" s="59" t="inlineStr">
        <is>
          <t>1 no. scheduled on P-101</t>
        </is>
      </c>
      <c r="C36" s="59" t="n"/>
      <c r="D36" s="60" t="n"/>
      <c r="E36" s="60" t="n"/>
      <c r="F36" s="60" t="n">
        <v>1</v>
      </c>
      <c r="G36" s="60" t="n">
        <v>1</v>
      </c>
      <c r="H36" s="59" t="n"/>
      <c r="I36" s="85">
        <f>G36*F36</f>
        <v/>
      </c>
      <c r="J36" s="85">
        <f>G36*D36*E36</f>
        <v/>
      </c>
    </row>
    <row r="37">
      <c r="A37" s="64" t="inlineStr">
        <is>
          <t>TOTAL</t>
        </is>
      </c>
      <c r="I37" s="86">
        <f>SUM(I36:I36)</f>
        <v/>
      </c>
      <c r="J37" s="86">
        <f>SUM(J36:J36)</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6.xml><?xml version="1.0" encoding="utf-8"?>
<worksheet xmlns="http://schemas.openxmlformats.org/spreadsheetml/2006/main">
  <sheetPr>
    <outlinePr summaryBelow="1" summaryRight="1"/>
    <pageSetUpPr fitToPage="1"/>
  </sheetPr>
  <dimension ref="A1:S5"/>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Preliminaries</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'Backup-Preliminaries'!B4</f>
        <v/>
      </c>
      <c r="C4" s="17">
        <f>'Backup-Preliminaries'!C4</f>
        <v/>
      </c>
      <c r="D4" s="24">
        <f>'Backup-Preliminaries'!D4</f>
        <v/>
      </c>
      <c r="E4" s="44" t="n"/>
      <c r="F4" s="44" t="n"/>
      <c r="G4" s="24">
        <f>IF(D4="","",D4*(N(E4)+N(F4)*PREVWAGE*DFACTOR))</f>
        <v/>
      </c>
      <c r="H4" s="17">
        <f>'Backup-Preliminaries'!F4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B5" s="25" t="inlineStr">
        <is>
          <t>Preliminaries — Direct Subtotal</t>
        </is>
      </c>
      <c r="G5" s="48">
        <f>SUM(G4:G4)</f>
        <v/>
      </c>
      <c r="N5" s="48">
        <f>SUM(N4:N4)</f>
        <v/>
      </c>
      <c r="O5" s="48">
        <f>SUM(O4:O4)</f>
        <v/>
      </c>
      <c r="P5" s="54">
        <f>SUMPRODUCT(D4:D4,P4:P4)</f>
        <v/>
      </c>
      <c r="Q5" s="54">
        <f>SUMPRODUCT(D4:D4,Q4:Q4)</f>
        <v/>
      </c>
      <c r="R5"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7.xml><?xml version="1.0" encoding="utf-8"?>
<worksheet xmlns="http://schemas.openxmlformats.org/spreadsheetml/2006/main">
  <sheetPr>
    <outlinePr summaryBelow="1" summaryRight="1"/>
    <pageSetUpPr fitToPage="1"/>
  </sheetPr>
  <dimension ref="A1:I4"/>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Preliminaries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Preliminaries and site running costs — ALLOWANCE, not a measured quantity</t>
        </is>
      </c>
      <c r="C4" s="17" t="inlineStr">
        <is>
          <t>allowance</t>
        </is>
      </c>
      <c r="D4" s="24" t="n">
        <v>1</v>
      </c>
      <c r="E4" s="65" t="inlineStr"/>
      <c r="F4" s="65" t="n">
        <v>0.5</v>
      </c>
      <c r="G4" s="18" t="inlineStr">
        <is>
          <t>ALLOWANCE at 12-20% of the direct cost, the band for a job of this size (A small job carries a full set of fixed costs — establishment, insurances, a supervisor, temporary services — over very little work.), adjusted for a 1.7-month schedule against the 6-month job this band assumes (65% of preliminaries is time-related). Range 17,300 to 28,834; the figure carried is the midpoint. This is NOT measured: the professional method builds preliminaries from the schedule, using local staff salaries and plant rates, and those are not held for this market. Replace it with your own build-up before tendering. COVERS: Site establishment and clearing away at the end; Site management and supervision for the duration; Site accommodation, welfare and storage; Temporary services — power, water, lighting, telecoms; Temporary works not measured elsewhere: hoarding, access, edge protection; Common-user plant standing time, including tower crane and hoists where used; Safety, protection and site cleaning throughout; Insurances, bonds and statutory charges; Setting out, surveying and as-built records; Testing, commissioning and handover attendance. EXCLUDES: trade_plant: Plant that belongs to one operation — a concrete pump, an excavator — is part of that trade's rate, not of preliminaries. Counting it twice is the most common error in this section.; head_office_overhead_and_profit: A contractor's margin sits on top of the whole tender and is not part of running the site.; design_fees: Consultant fees are the client's cost, not the contractor's preliminaries.; contingency: Carried separately and driven by design maturity, not by site running cost.</t>
        </is>
      </c>
      <c r="H4" s="18" t="inlineStr"/>
      <c r="I4" s="18" t="inlineStr"/>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8.xml><?xml version="1.0" encoding="utf-8"?>
<worksheet xmlns="http://schemas.openxmlformats.org/spreadsheetml/2006/main">
  <sheetPr>
    <outlinePr summaryBelow="1" summaryRight="1"/>
    <pageSetUpPr fitToPage="1"/>
  </sheetPr>
  <dimension ref="A1:S9"/>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Structural</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'Backup-Structural'!B4</f>
        <v/>
      </c>
      <c r="C4" s="17">
        <f>'Backup-Structural'!C4</f>
        <v/>
      </c>
      <c r="D4" s="24">
        <f>'Backup-Structural'!D4</f>
        <v/>
      </c>
      <c r="E4" s="44" t="n"/>
      <c r="F4" s="44" t="n"/>
      <c r="G4" s="24">
        <f>IF(D4="","",D4*(N(E4)+N(F4)*PREVWAGE*DFACTOR))</f>
        <v/>
      </c>
      <c r="H4" s="17">
        <f>'Backup-Structural'!F4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A5" s="17" t="n">
        <v>2</v>
      </c>
      <c r="B5" s="18">
        <f>'Backup-Structural'!B5</f>
        <v/>
      </c>
      <c r="C5" s="17">
        <f>'Backup-Structural'!C5</f>
        <v/>
      </c>
      <c r="D5" s="24">
        <f>'Backup-Structural'!D5</f>
        <v/>
      </c>
      <c r="E5" s="44" t="n"/>
      <c r="F5" s="44" t="n"/>
      <c r="G5" s="24">
        <f>IF(D5="","",D5*(N(E5)+N(F5)*PREVWAGE*DFACTOR))</f>
        <v/>
      </c>
      <c r="H5" s="17">
        <f>'Backup-Structural'!F5</f>
        <v/>
      </c>
      <c r="I5" s="49">
        <f>MATLOSS</f>
        <v/>
      </c>
      <c r="J5" s="49">
        <f>MATMARKUP</f>
        <v/>
      </c>
      <c r="K5" s="49">
        <f>LABMARKUP</f>
        <v/>
      </c>
      <c r="L5" s="24">
        <f>IF(N(E5)=0,0,ROUND(E5*(1+J5),2))</f>
        <v/>
      </c>
      <c r="M5" s="24">
        <f>IF(N(F5)=0,0,ROUND(F5*PREVWAGE*DFACTOR*(1+K5),2))</f>
        <v/>
      </c>
      <c r="N5" s="24">
        <f>IF(D5="","",ROUND(D5*(1+N(I5))*(N(L5)+N(M5)),2))</f>
        <v/>
      </c>
      <c r="O5" s="24">
        <f>IF(D5="","",N(N5)-N(G5))</f>
        <v/>
      </c>
      <c r="P5" s="24" t="n"/>
      <c r="Q5" s="24" t="n"/>
      <c r="R5" s="17" t="n"/>
      <c r="S5" s="18" t="n"/>
    </row>
    <row r="6">
      <c r="A6" s="17" t="n">
        <v>3</v>
      </c>
      <c r="B6" s="18">
        <f>'Backup-Structural'!B6</f>
        <v/>
      </c>
      <c r="C6" s="17">
        <f>'Backup-Structural'!C6</f>
        <v/>
      </c>
      <c r="D6" s="24">
        <f>'Backup-Structural'!D6</f>
        <v/>
      </c>
      <c r="E6" s="44" t="n"/>
      <c r="F6" s="44" t="n"/>
      <c r="G6" s="24">
        <f>IF(D6="","",D6*(N(E6)+N(F6)*PREVWAGE*DFACTOR))</f>
        <v/>
      </c>
      <c r="H6" s="17">
        <f>'Backup-Structural'!F6</f>
        <v/>
      </c>
      <c r="I6" s="49">
        <f>MATLOSS</f>
        <v/>
      </c>
      <c r="J6" s="49">
        <f>MATMARKUP</f>
        <v/>
      </c>
      <c r="K6" s="49">
        <f>LABMARKUP</f>
        <v/>
      </c>
      <c r="L6" s="24">
        <f>IF(N(E6)=0,0,ROUND(E6*(1+J6),2))</f>
        <v/>
      </c>
      <c r="M6" s="24">
        <f>IF(N(F6)=0,0,ROUND(F6*PREVWAGE*DFACTOR*(1+K6),2))</f>
        <v/>
      </c>
      <c r="N6" s="24">
        <f>IF(D6="","",ROUND(D6*(1+N(I6))*(N(L6)+N(M6)),2))</f>
        <v/>
      </c>
      <c r="O6" s="24">
        <f>IF(D6="","",N(N6)-N(G6))</f>
        <v/>
      </c>
      <c r="P6" s="24" t="n"/>
      <c r="Q6" s="24" t="n"/>
      <c r="R6" s="17" t="n"/>
      <c r="S6" s="18" t="n"/>
    </row>
    <row r="7">
      <c r="A7" s="17" t="n">
        <v>4</v>
      </c>
      <c r="B7" s="18">
        <f>'Backup-Structural'!B7</f>
        <v/>
      </c>
      <c r="C7" s="17">
        <f>'Backup-Structural'!C7</f>
        <v/>
      </c>
      <c r="D7" s="24">
        <f>'Backup-Structural'!D7</f>
        <v/>
      </c>
      <c r="E7" s="44" t="n"/>
      <c r="F7" s="44" t="n"/>
      <c r="G7" s="24">
        <f>IF(D7="","",D7*(N(E7)+N(F7)*PREVWAGE*DFACTOR))</f>
        <v/>
      </c>
      <c r="H7" s="17">
        <f>'Backup-Structural'!F7</f>
        <v/>
      </c>
      <c r="I7" s="49">
        <f>MATLOSS</f>
        <v/>
      </c>
      <c r="J7" s="49">
        <f>MATMARKUP</f>
        <v/>
      </c>
      <c r="K7" s="49">
        <f>LABMARKUP</f>
        <v/>
      </c>
      <c r="L7" s="24">
        <f>IF(N(E7)=0,0,ROUND(E7*(1+J7),2))</f>
        <v/>
      </c>
      <c r="M7" s="24">
        <f>IF(N(F7)=0,0,ROUND(F7*PREVWAGE*DFACTOR*(1+K7),2))</f>
        <v/>
      </c>
      <c r="N7" s="24">
        <f>IF(D7="","",ROUND(D7*(1+N(I7))*(N(L7)+N(M7)),2))</f>
        <v/>
      </c>
      <c r="O7" s="24">
        <f>IF(D7="","",N(N7)-N(G7))</f>
        <v/>
      </c>
      <c r="P7" s="24" t="n"/>
      <c r="Q7" s="24" t="n"/>
      <c r="R7" s="17" t="n"/>
      <c r="S7" s="18" t="n"/>
    </row>
    <row r="8">
      <c r="A8" s="17" t="n">
        <v>5</v>
      </c>
      <c r="B8" s="18">
        <f>'Backup-Structural'!B8</f>
        <v/>
      </c>
      <c r="C8" s="17">
        <f>'Backup-Structural'!C8</f>
        <v/>
      </c>
      <c r="D8" s="24">
        <f>'Backup-Structural'!D8</f>
        <v/>
      </c>
      <c r="E8" s="47" t="n"/>
      <c r="F8" s="47" t="n"/>
      <c r="G8" s="24">
        <f>IF(D8="","",D8*(N(E8)+N(F8)*PREVWAGE*DFACTOR))</f>
        <v/>
      </c>
      <c r="H8" s="17">
        <f>'Backup-Structural'!F8</f>
        <v/>
      </c>
      <c r="I8" s="49">
        <f>MATLOSS</f>
        <v/>
      </c>
      <c r="J8" s="49">
        <f>MATMARKUP</f>
        <v/>
      </c>
      <c r="K8" s="49">
        <f>LABMARKUP</f>
        <v/>
      </c>
      <c r="L8" s="24">
        <f>IF(N(E8)=0,0,ROUND(E8*(1+J8),2))</f>
        <v/>
      </c>
      <c r="M8" s="24">
        <f>IF(N(F8)=0,0,ROUND(F8*PREVWAGE*DFACTOR*(1+K8),2))</f>
        <v/>
      </c>
      <c r="N8" s="24">
        <f>IF(D8="","",ROUND(D8*(1+N(I8))*(N(L8)+N(M8)),2))</f>
        <v/>
      </c>
      <c r="O8" s="24">
        <f>IF(D8="","",N(N8)-N(G8))</f>
        <v/>
      </c>
      <c r="P8" s="51" t="n">
        <v>3.1</v>
      </c>
      <c r="Q8" s="51" t="n">
        <v>7.28</v>
      </c>
      <c r="R8" s="52" t="inlineStr">
        <is>
          <t>THANCHOR-US-277</t>
        </is>
      </c>
      <c r="S8" s="53" t="inlineStr">
        <is>
          <t>LOW-CONFIDENCE BASELINE (low) — highlighted amber; replace with your own rate</t>
        </is>
      </c>
    </row>
    <row r="9">
      <c r="B9" s="25" t="inlineStr">
        <is>
          <t>Structural — Direct Subtotal</t>
        </is>
      </c>
      <c r="G9" s="48">
        <f>SUM(G4:G8)</f>
        <v/>
      </c>
      <c r="N9" s="48">
        <f>SUM(N4:N8)</f>
        <v/>
      </c>
      <c r="O9" s="48">
        <f>SUM(O4:O8)</f>
        <v/>
      </c>
      <c r="P9" s="54">
        <f>SUMPRODUCT(D4:D8,P4:P8)</f>
        <v/>
      </c>
      <c r="Q9" s="54">
        <f>SUMPRODUCT(D4:D8,Q4:Q8)</f>
        <v/>
      </c>
      <c r="R9"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29.xml><?xml version="1.0" encoding="utf-8"?>
<worksheet xmlns="http://schemas.openxmlformats.org/spreadsheetml/2006/main">
  <sheetPr>
    <outlinePr summaryBelow="1" summaryRight="1"/>
    <pageSetUpPr fitToPage="1"/>
  </sheetPr>
  <dimension ref="A1:I8"/>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Structural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Concrete slab on grade, 5 in, 4000 psi, over 10 mil vapour retarder on 4 in compacted aggregate base</t>
        </is>
      </c>
      <c r="C4" s="17" t="inlineStr">
        <is>
          <t>SF</t>
        </is>
      </c>
      <c r="D4" s="24">
        <f>'Calc-Structural'!G9*10.7639</f>
        <v/>
      </c>
      <c r="E4" s="17" t="inlineStr">
        <is>
          <t>A-101, S-101, A-401</t>
        </is>
      </c>
      <c r="F4" s="17" t="n">
        <v>1</v>
      </c>
      <c r="G4" s="18" t="inlineStr">
        <is>
          <t>Slab is coextensive with the footprint; no depressed or recessed areas are shown.</t>
        </is>
      </c>
      <c r="H4" s="18" t="inlineStr">
        <is>
          <t>None</t>
        </is>
      </c>
      <c r="I4" s="18" t="inlineStr">
        <is>
          <t>03 30 00</t>
        </is>
      </c>
    </row>
    <row r="5">
      <c r="A5" s="17" t="n">
        <v>2</v>
      </c>
      <c r="B5" s="18" t="inlineStr">
        <is>
          <t>Concrete pad footing F1, 4'-0 x 4'-0 x 1'-4 deep, 3000 psi</t>
        </is>
      </c>
      <c r="C5" s="17" t="inlineStr">
        <is>
          <t>EA</t>
        </is>
      </c>
      <c r="D5" s="24">
        <f>'Calc-Structural'!I17</f>
        <v/>
      </c>
      <c r="E5" s="17" t="inlineStr">
        <is>
          <t>S-101, S-501</t>
        </is>
      </c>
      <c r="F5" s="17" t="n">
        <v>1</v>
      </c>
      <c r="G5" s="18" t="inlineStr">
        <is>
          <t>Count off the foundation plan; the schedule on S-501 confirms 15.</t>
        </is>
      </c>
      <c r="H5" s="18" t="inlineStr">
        <is>
          <t>None</t>
        </is>
      </c>
      <c r="I5" s="18" t="inlineStr">
        <is>
          <t>03 30 00</t>
        </is>
      </c>
    </row>
    <row r="6">
      <c r="A6" s="17" t="n">
        <v>3</v>
      </c>
      <c r="B6" s="18" t="inlineStr">
        <is>
          <t>Continuous strip footing SF1, 2'-6 wide x 1'-6 deep, 3000 psi</t>
        </is>
      </c>
      <c r="C6" s="17" t="inlineStr">
        <is>
          <t>LF</t>
        </is>
      </c>
      <c r="D6" s="24">
        <f>'Calc-Structural'!H24*3.28084</f>
        <v/>
      </c>
      <c r="E6" s="17" t="inlineStr">
        <is>
          <t>S-101, S-501</t>
        </is>
      </c>
      <c r="F6" s="17" t="n">
        <v>1</v>
      </c>
      <c r="G6" s="18" t="inlineStr">
        <is>
          <t>Runs the full perimeter under the CMU bearing wall.</t>
        </is>
      </c>
      <c r="H6" s="18" t="inlineStr">
        <is>
          <t>None</t>
        </is>
      </c>
      <c r="I6" s="18" t="inlineStr">
        <is>
          <t>03 30 00</t>
        </is>
      </c>
    </row>
    <row r="7">
      <c r="A7" s="17" t="n">
        <v>4</v>
      </c>
      <c r="B7" s="18" t="inlineStr">
        <is>
          <t>Open web steel joist 24K7, spanning 40'-0</t>
        </is>
      </c>
      <c r="C7" s="17" t="inlineStr">
        <is>
          <t>EA</t>
        </is>
      </c>
      <c r="D7" s="24">
        <f>'Calc-Structural'!I32</f>
        <v/>
      </c>
      <c r="E7" s="17" t="inlineStr">
        <is>
          <t>S-201, S-501</t>
        </is>
      </c>
      <c r="F7" s="17" t="n">
        <v>1</v>
      </c>
      <c r="G7" s="18" t="inlineStr">
        <is>
          <t>Spacing is printed at 5'-0 o.c. on S-201; end joists sit on the bearing wall.</t>
        </is>
      </c>
      <c r="H7" s="18" t="inlineStr">
        <is>
          <t>None</t>
        </is>
      </c>
      <c r="I7" s="18" t="inlineStr">
        <is>
          <t>05 21 00</t>
        </is>
      </c>
    </row>
    <row r="8">
      <c r="A8" s="17" t="n">
        <v>5</v>
      </c>
      <c r="B8" s="18" t="inlineStr">
        <is>
          <t>Metal roof deck, 1-1/2 in type B, 22 gauge</t>
        </is>
      </c>
      <c r="C8" s="17" t="inlineStr">
        <is>
          <t>SF</t>
        </is>
      </c>
      <c r="D8" s="24">
        <f>'Calc-Structural'!I39*10.7639</f>
        <v/>
      </c>
      <c r="E8" s="17" t="inlineStr">
        <is>
          <t>S-201, A-301</t>
        </is>
      </c>
      <c r="F8" s="17" t="n">
        <v>1</v>
      </c>
      <c r="G8" s="18" t="inlineStr">
        <is>
          <t>Roof is flat behind a parapet, so deck area equals the footprint.</t>
        </is>
      </c>
      <c r="H8" s="18" t="inlineStr">
        <is>
          <t>None</t>
        </is>
      </c>
      <c r="I8" s="18" t="inlineStr">
        <is>
          <t>05 31 00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E35"/>
  <sheetViews>
    <sheetView workbookViewId="0">
      <selection activeCell="A1" sqref="A1"/>
    </sheetView>
  </sheetViews>
  <sheetFormatPr baseColWidth="8" defaultRowHeight="15"/>
  <cols>
    <col width="8" customWidth="1" min="1" max="1"/>
    <col width="26" customWidth="1" min="2" max="2"/>
    <col width="62" customWidth="1" min="3" max="3"/>
    <col width="30" customWidth="1" min="4" max="4"/>
    <col width="44" customWidth="1" min="5" max="5"/>
  </cols>
  <sheetData>
    <row r="1">
      <c r="A1" s="15" t="inlineStr">
        <is>
          <t>Basis of Measurement — the rules these quantities were measured under</t>
        </is>
      </c>
    </row>
    <row r="2">
      <c r="A2" s="7" t="inlineStr">
        <is>
          <t>No single mandatory standard method of measurement applies across the markets we serve. The United States has no mandatory central standard method (MasterFormat and UniFormat are classification systems, not measurement rules), while the United Kingdom, Australia, New Zealand and Canada each apply different national conventions. We therefore state our own measurement rules explicitly, rule by rule, below. Each rule is a single fixed value, not a range, and it is applied the same way across every trade in this take-off. Where a rule differs from the convention you normally work to, the difference is stated so you can adjust the quantity yourself. Any line that departs from a rule below says so in its own assumption text on the Backup sheet.</t>
        </is>
      </c>
    </row>
    <row r="3"/>
    <row r="4"/>
    <row r="5"/>
    <row r="6"/>
    <row r="7">
      <c r="A7" s="16" t="inlineStr">
        <is>
          <t>Ref</t>
        </is>
      </c>
      <c r="B7" s="16" t="inlineStr">
        <is>
          <t>Topic</t>
        </is>
      </c>
      <c r="C7" s="16" t="inlineStr">
        <is>
          <t>Rule</t>
        </is>
      </c>
      <c r="D7" s="16" t="inlineStr">
        <is>
          <t>Fixed values used</t>
        </is>
      </c>
      <c r="E7" s="16" t="inlineStr">
        <is>
          <t>How this differs from other conventions</t>
        </is>
      </c>
    </row>
    <row r="8" ht="46" customHeight="1">
      <c r="A8" s="17" t="inlineStr">
        <is>
          <t>W1</t>
        </is>
      </c>
      <c r="B8" s="18" t="inlineStr">
        <is>
          <t>Walls — openings</t>
        </is>
      </c>
      <c r="C8" s="18" t="inlineStr">
        <is>
          <t>Wall areas are measured NET: openings larger than the pinned threshold are deducted, per opening. Smaller openings are not deducted. Applies to masonry, render, plaster and wall tiling.</t>
        </is>
      </c>
      <c r="D8" s="18" t="inlineStr">
        <is>
          <t>opening deduction threshold m2: 0.5
masonry uses the same threshold as finishes: YES</t>
        </is>
      </c>
      <c r="E8" s="18" t="inlineStr">
        <is>
          <t>IS 1200 (Part III) 1976 clause 4.1.4(b) uses a STRICTER 0.1 m2 threshold for brickwork than the 0.5 m2 it uses for plaster. We deliberately apply 0.5 m2 to masonry as well, on the owner's instruction: this is a fast approximate take-off at plus or minus 5%, the difference is small, and it sits with MR-20's deliberate allowance. Masonry quantities are therefore slightly generous against the standard. Stated so it is known rather than accidental.</t>
        </is>
      </c>
    </row>
    <row r="9" ht="46" customHeight="1">
      <c r="A9" s="17" t="inlineStr">
        <is>
          <t>W2</t>
        </is>
      </c>
      <c r="B9" s="18" t="inlineStr">
        <is>
          <t>Walls — height</t>
        </is>
      </c>
      <c r="C9" s="18" t="inlineStr">
        <is>
          <t>Wall height is measured from finished floor level to the underside of the beam or slab above. Where a reflected ceiling plan gives a ceiling level, applied finishes stop at the ceiling line; the structural wall is still measured full height. One storey height is used for everything on that floor - external perimeter and internal partitions alike - even though real wall heights differ face to face.</t>
        </is>
      </c>
      <c r="D9" s="18" t="inlineStr">
        <is>
          <t>applied finish stops at ceiling when rcp given: YES
height is floor to floor less slab thickness: YES
one storey height serves the whole floor: YES</t>
        </is>
      </c>
      <c r="E9" s="18" t="inlineStr">
        <is>
          <t>We cannot verify this against a published national standard — those documents are copyrighted and we do not hold them. Tell us the convention you work to and we will state the difference.</t>
        </is>
      </c>
    </row>
    <row r="10" ht="46" customHeight="1">
      <c r="A10" s="17" t="inlineStr">
        <is>
          <t>W3</t>
        </is>
      </c>
      <c r="B10" s="18" t="inlineStr">
        <is>
          <t>Walls — setting-out line and faces</t>
        </is>
      </c>
      <c r="C10" s="18" t="inlineStr">
        <is>
          <t>Wall runs are measured along the wall centreline. Finish areas are counted per face: an external wall gives one external and one internal face; an internal partition gives two internal faces.</t>
        </is>
      </c>
      <c r="D10" s="18" t="inlineStr">
        <is>
          <t>faces per internal partition: 2
faces per external wall: 2</t>
        </is>
      </c>
      <c r="E10" s="18" t="inlineStr">
        <is>
          <t>We cannot verify this against a published national standard — those documents are copyrighted and we do not hold them. Tell us the convention you work to and we will state the difference.</t>
        </is>
      </c>
    </row>
    <row r="11" ht="46" customHeight="1">
      <c r="A11" s="17" t="inlineStr">
        <is>
          <t>C1</t>
        </is>
      </c>
      <c r="B11" s="18" t="inlineStr">
        <is>
          <t>Concrete — reinforcement displacement</t>
        </is>
      </c>
      <c r="C11" s="18" t="inlineStr">
        <is>
          <t>Concrete volumes are gross. No deduction is made for the volume displaced by reinforcement.</t>
        </is>
      </c>
      <c r="D11" s="18" t="inlineStr">
        <is>
          <t>deduct reinforcement volume: NO</t>
        </is>
      </c>
      <c r="E11" s="18" t="inlineStr">
        <is>
          <t>This is the ordinary international practice, so far as can be confirmed.</t>
        </is>
      </c>
    </row>
    <row r="12" ht="46" customHeight="1">
      <c r="A12" s="17" t="inlineStr">
        <is>
          <t>C2</t>
        </is>
      </c>
      <c r="B12" s="18" t="inlineStr">
        <is>
          <t>Concrete — openings in slabs</t>
        </is>
      </c>
      <c r="C12" s="18" t="inlineStr">
        <is>
          <t>Openings in slabs (stair, lift, shaft) larger than the pinned threshold are deducted, per opening. Smaller penetrations are not.</t>
        </is>
      </c>
      <c r="D12" s="18" t="inlineStr">
        <is>
          <t>slab opening deduction threshold m2: 1.0</t>
        </is>
      </c>
      <c r="E12" s="18" t="inlineStr">
        <is>
          <t>We cannot verify this against a published national standard — those documents are copyrighted and we do not hold them. Tell us the convention you work to and we will state the difference.</t>
        </is>
      </c>
    </row>
    <row r="13" ht="46" customHeight="1">
      <c r="A13" s="17" t="inlineStr">
        <is>
          <t>C3</t>
        </is>
      </c>
      <c r="B13" s="18" t="inlineStr">
        <is>
          <t>Columns — extent</t>
        </is>
      </c>
      <c r="C13" s="18" t="inlineStr">
        <is>
          <t>Columns are measured from the top of the footing or pedestal to the underside of the beam above. Continuous beams are measured through the column.</t>
        </is>
      </c>
      <c r="D13" s="18" t="inlineStr">
        <is>
          <t>beam measured through column: YES</t>
        </is>
      </c>
      <c r="E13" s="18" t="inlineStr">
        <is>
          <t>We cannot verify this against a published national standard — those documents are copyrighted and we do not hold them. Tell us the convention you work to and we will state the difference.</t>
        </is>
      </c>
    </row>
    <row r="14" ht="46" customHeight="1">
      <c r="A14" s="17" t="inlineStr">
        <is>
          <t>R1</t>
        </is>
      </c>
      <c r="B14" s="18" t="inlineStr">
        <is>
          <t>Reinforcement — laps, hooks and tying wire</t>
        </is>
      </c>
      <c r="C14" s="18" t="inlineStr">
        <is>
          <t>Where reinforcement is measured bar by bar, a single fixed percentage is added for laps, hooks and tying wire. A different percentage may be used ONLY where the specification states a lap length that differs from normal, and the reason must be written on the line.</t>
        </is>
      </c>
      <c r="D14" s="18" t="inlineStr">
        <is>
          <t>lap hook tying allowance pct: 12</t>
        </is>
      </c>
      <c r="E14" s="18" t="inlineStr">
        <is>
          <t>We cannot verify this against a published national standard — those documents are copyrighted and we do not hold them. Tell us the convention you work to and we will state the difference.</t>
        </is>
      </c>
    </row>
    <row r="15" ht="46" customHeight="1">
      <c r="A15" s="17" t="inlineStr">
        <is>
          <t>R2</t>
        </is>
      </c>
      <c r="B15" s="18" t="inlineStr">
        <is>
          <t>Reinforcement — starter and dowel bars</t>
        </is>
      </c>
      <c r="C15" s="18" t="inlineStr">
        <is>
          <t>Starter and dowel bars are carried in the member they project INTO, not the member they project from, and are never counted twice.</t>
        </is>
      </c>
      <c r="D15" s="18" t="inlineStr">
        <is>
          <t>dowels carried in receiving member: YES</t>
        </is>
      </c>
      <c r="E15" s="18" t="inlineStr">
        <is>
          <t>We cannot verify this against a published national standard — those documents are copyrighted and we do not hold them. Tell us the convention you work to and we will state the difference.</t>
        </is>
      </c>
    </row>
    <row r="16" ht="46" customHeight="1">
      <c r="A16" s="17" t="inlineStr">
        <is>
          <t>R3</t>
        </is>
      </c>
      <c r="B16" s="18" t="inlineStr">
        <is>
          <t>Reinforcement — no bar bending schedule</t>
        </is>
      </c>
      <c r="C16" s="18" t="inlineStr">
        <is>
          <t>A rate per cubic metre of concrete may be used ONLY where the drawings contain no bar bending schedule. The rate used must be stated, the line must be flagged at LOW confidence, and the line must say that the rate already includes laps and tying wire (so MR-7 is NOT applied on top).</t>
        </is>
      </c>
      <c r="D16" s="18" t="inlineStr">
        <is>
          <t>requires confidence low: YES
rate includes laps: YES</t>
        </is>
      </c>
      <c r="E16" s="18" t="inlineStr">
        <is>
          <t>We cannot verify this against a published national standard — those documents are copyrighted and we do not hold them. Tell us the convention you work to and we will state the difference.</t>
        </is>
      </c>
    </row>
    <row r="17" ht="46" customHeight="1">
      <c r="A17" s="17" t="inlineStr">
        <is>
          <t>F1</t>
        </is>
      </c>
      <c r="B17" s="18" t="inlineStr">
        <is>
          <t>Floors and ceilings</t>
        </is>
      </c>
      <c r="C17" s="18" t="inlineStr">
        <is>
          <t>Floor and ceiling areas are measured between finished wall faces (net internal). Columns projecting into a room by more than the pinned threshold are deducted. Floor drains and small service penetrations are not deducted.</t>
        </is>
      </c>
      <c r="D17" s="18" t="inlineStr">
        <is>
          <t>projecting column deduction threshold m2: 0.5</t>
        </is>
      </c>
      <c r="E17" s="18" t="inlineStr">
        <is>
          <t>We cannot verify this against a published national standard — those documents are copyrighted and we do not hold them. Tell us the convention you work to and we will state the difference.</t>
        </is>
      </c>
    </row>
    <row r="18" ht="46" customHeight="1">
      <c r="A18" s="17" t="inlineStr">
        <is>
          <t>F2</t>
        </is>
      </c>
      <c r="B18" s="18" t="inlineStr">
        <is>
          <t>Painting</t>
        </is>
      </c>
      <c r="C18" s="18" t="inlineStr">
        <is>
          <t>Painting to walls is measured on the wall areas defined by MR-1 — that is, net of openings above the MR-1 threshold — and NOT on the true surface area after deducting frames and architraves. Face count follows MR-19: paint to both faces of a wall is twice the wall area.</t>
        </is>
      </c>
      <c r="D18" s="18" t="inlineStr">
        <is>
          <t>follows rule: MR-1 and MR-19
deduct frames and architraves: NO</t>
        </is>
      </c>
      <c r="E18" s="18" t="inlineStr">
        <is>
          <t>We cannot verify this against a published national standard — those documents are copyrighted and we do not hold them. Tell us the convention you work to and we will state the difference.</t>
        </is>
      </c>
    </row>
    <row r="19" ht="46" customHeight="1">
      <c r="A19" s="17" t="inlineStr">
        <is>
          <t>RF1/RF2</t>
        </is>
      </c>
      <c r="B19" s="18" t="inlineStr">
        <is>
          <t>Roofing</t>
        </is>
      </c>
      <c r="C19" s="18" t="inlineStr">
        <is>
          <t>Where the drawings GIVE a pitch, roof coverings are measured on the sloped (developed) surface, including eaves and overhangs, and the slope factor used is stated on the line. Where the drawings do NOT give a pitch, the roof is measured as plan-projected area and the line says PROJECTED. A pitch is never assumed.</t>
        </is>
      </c>
      <c r="D19" s="18" t="inlineStr">
        <is>
          <t>include eaves and overhang: YES
assume pitch when not shown: NO
projected understatement note pct low: 5
projected understatement note pct high: 20</t>
        </is>
      </c>
      <c r="E19" s="18" t="inlineStr">
        <is>
          <t>We cannot verify this against a published national standard — those documents are copyrighted and we do not hold them. Tell us the convention you work to and we will state the difference.</t>
        </is>
      </c>
    </row>
    <row r="20" ht="46" customHeight="1">
      <c r="A20" s="17" t="inlineStr">
        <is>
          <t>P1/P2/P3</t>
        </is>
      </c>
      <c r="B20" s="18" t="inlineStr">
        <is>
          <t>Pipework, duct, conduit and cable</t>
        </is>
      </c>
      <c r="C20" s="18" t="inlineStr">
        <is>
          <t>Runs are measured along the centreline of the pipe, duct or conduit, to the centre of the equipment or fixture served. Bends, elbows, tees and couplings are included in the measured length and are not enumerated separately; valves, dampers and scheduled equipment are enumerated separately. No percentage is added for routing, offsets or slack.</t>
        </is>
      </c>
      <c r="D20" s="18" t="inlineStr">
        <is>
          <t>routing allowance pct: 0
fittings included in length: YES
measured to centre of equipment: YES</t>
        </is>
      </c>
      <c r="E20" s="18" t="inlineStr">
        <is>
          <t>We cannot verify this against a published national standard — those documents are copyrighted and we do not hold them. Tell us the convention you work to and we will state the difference.</t>
        </is>
      </c>
    </row>
    <row r="21" ht="46" customHeight="1">
      <c r="A21" s="17" t="inlineStr">
        <is>
          <t>E1</t>
        </is>
      </c>
      <c r="B21" s="18" t="inlineStr">
        <is>
          <t>Earthworks — working space</t>
        </is>
      </c>
      <c r="C21" s="18" t="inlineStr">
        <is>
          <t>Excavation to foundations is measured to the plan size of the member plus the pinned working space on EVERY side, taken down to the underside of the blinding or sand blanket. Trench excavation is the member width plus the same allowance shared over the two sides.</t>
        </is>
      </c>
      <c r="D21" s="18" t="inlineStr">
        <is>
          <t>working space m each side: 0.4</t>
        </is>
      </c>
      <c r="E21" s="18" t="inlineStr">
        <is>
          <t>We cannot verify this against a published national standard — those documents are copyrighted and we do not hold them. Tell us the convention you work to and we will state the difference.</t>
        </is>
      </c>
    </row>
    <row r="22" ht="46" customHeight="1">
      <c r="A22" s="17" t="inlineStr">
        <is>
          <t>E2</t>
        </is>
      </c>
      <c r="B22" s="18" t="inlineStr">
        <is>
          <t>Earthworks — bank measure</t>
        </is>
      </c>
      <c r="C22" s="18" t="inlineStr">
        <is>
          <t>All excavation volumes are stated as bank measure — the volume in place before excavation. No bulking or swell factor is applied, in either direction.</t>
        </is>
      </c>
      <c r="D22" s="18" t="inlineStr">
        <is>
          <t>bulking factor applied: NO</t>
        </is>
      </c>
      <c r="E22" s="18" t="inlineStr">
        <is>
          <t>Bank measure is the ordinary basis for stating excavation; the contractor applies swell when pricing cart-away.</t>
        </is>
      </c>
    </row>
    <row r="23" ht="46" customHeight="1">
      <c r="A23" s="17" t="inlineStr">
        <is>
          <t>E3</t>
        </is>
      </c>
      <c r="B23" s="18" t="inlineStr">
        <is>
          <t>Backfill</t>
        </is>
      </c>
      <c r="C23" s="18" t="inlineStr">
        <is>
          <t>Backfill is the measured excavation less everything permanently occupying the excavation (footings, blinding, sand, pedestals), stated as compacted volume in place.</t>
        </is>
      </c>
      <c r="D23" s="18" t="inlineStr">
        <is>
          <t>deduct permanent occupation: YES</t>
        </is>
      </c>
      <c r="E23" s="18" t="inlineStr">
        <is>
          <t>We cannot verify this against a published national standard — those documents are copyrighted and we do not hold them. Tell us the convention you work to and we will state the difference.</t>
        </is>
      </c>
    </row>
    <row r="24" ht="46" customHeight="1">
      <c r="A24" s="17" t="inlineStr">
        <is>
          <t>S1</t>
        </is>
      </c>
      <c r="B24" s="18" t="inlineStr">
        <is>
          <t>Formwork</t>
        </is>
      </c>
      <c r="C24" s="18" t="inlineStr">
        <is>
          <t>Formwork is measured to the actual concrete contact surface, using the same dimensions as the corresponding concrete item. Members cast on blinding carry no soffit formwork.</t>
        </is>
      </c>
      <c r="D24" s="18" t="inlineStr">
        <is>
          <t>soffit formwork on blinding: NO</t>
        </is>
      </c>
      <c r="E24" s="18" t="inlineStr">
        <is>
          <t>We cannot verify this against a published national standard — those documents are copyrighted and we do not hold them. Tell us the convention you work to and we will state the difference.</t>
        </is>
      </c>
    </row>
    <row r="25" ht="46" customHeight="1">
      <c r="A25" s="17" t="inlineStr">
        <is>
          <t>S2</t>
        </is>
      </c>
      <c r="B25" s="18" t="inlineStr">
        <is>
          <t>Structural steel</t>
        </is>
      </c>
      <c r="C25" s="18" t="inlineStr">
        <is>
          <t>Structural steel mass is the measured member length multiplied by the scheduled unit mass, plus a single fixed percentage for connections, plates and bolts. Rafter lengths are measured along the slope.</t>
        </is>
      </c>
      <c r="D25" s="18" t="inlineStr">
        <is>
          <t>connection allowance pct: 10</t>
        </is>
      </c>
      <c r="E25" s="18" t="inlineStr">
        <is>
          <t>We cannot verify this against a published national standard — those documents are copyrighted and we do not hold them. Tell us the convention you work to and we will state the difference.</t>
        </is>
      </c>
    </row>
    <row r="26" ht="46" customHeight="1">
      <c r="A26" s="17" t="inlineStr">
        <is>
          <t>G1</t>
        </is>
      </c>
      <c r="B26" s="18" t="inlineStr">
        <is>
          <t>General — no invented dimensions</t>
        </is>
      </c>
      <c r="C26" s="18" t="inlineStr">
        <is>
          <t>A dimension not shown on the drawings is never invented. Where a quantity cannot be measured from the information issued, the line is carried at zero quantity with a statement of what is required, rather than priced on an assumed dimension.</t>
        </is>
      </c>
      <c r="D26" s="18" t="inlineStr">
        <is>
          <t>invent missing dimensions: NO</t>
        </is>
      </c>
      <c r="E26" s="18" t="inlineStr">
        <is>
          <t>Not a measurement convention — a disclosure policy.</t>
        </is>
      </c>
    </row>
    <row r="27" ht="46" customHeight="1">
      <c r="A27" s="17" t="inlineStr">
        <is>
          <t>G2</t>
        </is>
      </c>
      <c r="B27" s="18" t="inlineStr">
        <is>
          <t>General — derived quantities</t>
        </is>
      </c>
      <c r="C27" s="18" t="inlineStr">
        <is>
          <t>Where a quantity is derived from a ratio, rate or allowance rather than measured, the line states the basis and is flagged at LOW confidence.</t>
        </is>
      </c>
      <c r="D27" s="18" t="inlineStr">
        <is>
          <t>requires confidence low: YES</t>
        </is>
      </c>
      <c r="E27" s="18" t="inlineStr">
        <is>
          <t>Not a measurement convention — a disclosure policy.</t>
        </is>
      </c>
    </row>
    <row r="28" ht="46" customHeight="1">
      <c r="A28" s="17" t="inlineStr">
        <is>
          <t>G3</t>
        </is>
      </c>
      <c r="B28" s="18" t="inlineStr">
        <is>
          <t>General — one basis across all trades</t>
        </is>
      </c>
      <c r="C28" s="18" t="inlineStr">
        <is>
          <t>These rules are applied consistently across every trade in one take-off. Any line departing from them says so in its own assumption text.</t>
        </is>
      </c>
      <c r="D28" s="18" t="inlineStr">
        <is>
          <t>per job consistency required: YES</t>
        </is>
      </c>
      <c r="E28" s="18" t="inlineStr">
        <is>
          <t>Not a measurement convention — an internal consistency requirement.</t>
        </is>
      </c>
    </row>
    <row r="29" ht="46" customHeight="1">
      <c r="A29" s="17" t="inlineStr">
        <is>
          <t>W4</t>
        </is>
      </c>
      <c r="B29" s="18" t="inlineStr">
        <is>
          <t>Wall finishes — two faces</t>
        </is>
      </c>
      <c r="C29" s="18" t="inlineStr">
        <is>
          <t>A wall finished on both faces yields TWICE its wall area of finish. Render, plaster, skim and paint are measured per face, not per wall. Where only one face is finished, one face is measured.</t>
        </is>
      </c>
      <c r="D29" s="18" t="inlineStr">
        <is>
          <t>finish area equals faces times wall area: YES
default faces when not stated: 2</t>
        </is>
      </c>
      <c r="E29" s="18" t="inlineStr">
        <is>
          <t>IS 1200 (Part XII) clause 3.8.1(b) goes further: an opening between 0.5 and 3 m2 is deducted from ONE face only when both faces carry the same plaster, because plastering the reveals, jambs, soffits and sills compensates for it; above 3 m2 (clause 3.8.2) both faces are deducted and the reveals are measured separately. WE DO NOT DO EITHER YET — we deduct every opening over 0.5 m2 from both faces and measure no reveals, which under-measures finishes on mid-sized openings and over-measures on large ones. The two errors run in opposite directions and neither is corrected. Declared as a known limitation.</t>
        </is>
      </c>
    </row>
    <row r="30" ht="46" customHeight="1">
      <c r="A30" s="17" t="inlineStr">
        <is>
          <t>W5</t>
        </is>
      </c>
      <c r="B30" s="18" t="inlineStr">
        <is>
          <t>Walls — concrete elements within the wall</t>
        </is>
      </c>
      <c r="C30" s="18" t="inlineStr">
        <is>
          <t>Stiffener columns, bond beams (lintels) and building columns inside a wall are DEDUCTED from the masonry area, because no bricks are laid where the concrete sits. They are NOT deducted from plaster, render or paint, because all three surfaces are finished. Masonry area and finish area are therefore different numbers taken from the same panel.</t>
        </is>
      </c>
      <c r="D30" s="18" t="inlineStr">
        <is>
          <t>deduct from masonry: YES
deduct from finishes: NO</t>
        </is>
      </c>
      <c r="E30" s="18" t="inlineStr">
        <is>
          <t>Consistent with IS 1200 (Part III) 4.1.6, which measures columns separately in cubic metres rather than as part of the wall. Our earlier position — leaving them in the masonry as an allowance — is withdrawn.</t>
        </is>
      </c>
    </row>
    <row r="31" ht="46" customHeight="1">
      <c r="A31" s="17" t="inlineStr">
        <is>
          <t>W6</t>
        </is>
      </c>
      <c r="B31" s="18" t="inlineStr">
        <is>
          <t>Stiffener columns and bond beams in masonry walls</t>
        </is>
      </c>
      <c r="C31" s="18" t="inlineStr">
        <is>
          <t>Reinforced stiffener columns and bond beams within masonry walls are measured in LINEAR METRES, separated by section size, and their positions are counted off the plan rather than estimated. Stiffener columns: at every wall-to-wall corner, at every wall end not meeting a structural column, on both sides of every door, window and light opening whose side does not meet a structural column, and dividing any wall panel wider than 5.00 m. Bond beams: over every door frame, over AND under every window, light opening and vent, and dividing any wall taller than 3.00 m. Bond-beam length is read centre of column to centre of column, or centre of column to wall edge. Where the drawing does not permit the positions to be counted — walls drawn as closed outlines rather than lines, or no plan at that level — the quantity is taken as a RATIO of the masonry wall area, at the pinned rates, and the item declares estimate_basis "ratio_to_wall_area" so it is never mistaken for a count.</t>
        </is>
      </c>
      <c r="D31" s="18" t="inlineStr">
        <is>
          <t>stiffener max panel width m: 5.0
bond beam max wall height m: 3.0
default section width m: 0.1
default section depth m: 0.07
bond beam over and under windows: YES
stiffener m per m2 of wall: 0.328
bond beam m per m2 of wall: 0.38</t>
        </is>
      </c>
      <c r="E31" s="18" t="inlineStr">
        <is>
          <t>Neither IS 1200 nor the DoD handbook addresses reinforced stiffeners in masonry, because they are not universal practice — so this is our own stated rule rather than a departure from a published one. Section sizes vary with wall thickness; 0.075 x 0.10, 0.15 x 0.10 and 0.20 x 0.10 m are the usual sections for half-brick, full-brick and thicker walls. If you measure stiffeners inside the masonry rate instead, deduct this item.</t>
        </is>
      </c>
    </row>
    <row r="32" ht="46" customHeight="1">
      <c r="A32" s="17" t="inlineStr">
        <is>
          <t>W7</t>
        </is>
      </c>
      <c r="B32" s="18" t="inlineStr">
        <is>
          <t>Plaster to structure, measured apart from plaster to walls</t>
        </is>
      </c>
      <c r="C32" s="18" t="inlineStr">
        <is>
          <t>Plaster to structural concrete — columns, beams, stairs and RC walls — is a SEPARATE item from plaster to masonry walls, and is measured its own way. Columns: the perimeter of the column section times the column height, times the number of columns. Ground beams: the exposed face height times the run. Upper beams, where left visible: both faces plus the soffit, times the run. Stair soffits: width times the sloping length; stair sides: the stepped profile plus the stringer.</t>
        </is>
      </c>
      <c r="D32" s="18" t="inlineStr">
        <is>
          <t>structure plaster is a separate item: YES
column plaster from section perimeter: YES</t>
        </is>
      </c>
      <c r="E32" s="18" t="inlineStr">
        <is>
          <t>IS 1200 (Part XII) measures plastering by surface without this split, so separating plaster to structure from plaster to masonry is our own rule. It is the more useful arrangement here because the two have different access, different rates and a different risk of being missed. Add the two items together to compare against a single-item measure.</t>
        </is>
      </c>
    </row>
    <row r="33"/>
    <row r="34">
      <c r="A34" s="19" t="inlineStr">
        <is>
          <t>A dimension the drawings do not show is never assumed. Where a quantity could not be measured from the information issued, the line is carried at zero with a statement of what is needed — see the Confidence Report.</t>
        </is>
      </c>
    </row>
    <row r="35"/>
  </sheetData>
  <sheetProtection selectLockedCells="1" selectUnlockedCells="1" sheet="1" objects="0" insertRows="1" insertHyperlinks="1" autoFilter="1" scenarios="0" formatColumns="1" deleteColumns="1" insertColumns="1" pivotTables="1" deleteRows="1" formatCells="1" formatRows="1" sort="1"/>
  <mergeCells count="2">
    <mergeCell ref="A2:E5"/>
    <mergeCell ref="A34:E35"/>
  </mergeCells>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0.xml><?xml version="1.0" encoding="utf-8"?>
<worksheet xmlns="http://schemas.openxmlformats.org/spreadsheetml/2006/main">
  <sheetPr>
    <tabColor rgb="001F4E5F"/>
    <outlinePr summaryBelow="1" summaryRight="1"/>
    <pageSetUpPr fitToPage="1"/>
  </sheetPr>
  <dimension ref="A1:K39"/>
  <sheetViews>
    <sheetView showGridLines="0" workbookViewId="0">
      <pane ySplit="3" topLeftCell="A4" activePane="bottomLeft" state="frozen"/>
      <selection pane="bottomLeft" activeCell="A1" sqref="A1"/>
    </sheetView>
  </sheetViews>
  <sheetFormatPr baseColWidth="8" defaultRowHeight="15"/>
  <cols>
    <col width="32" customWidth="1" min="2" max="2"/>
    <col width="7" customWidth="1" min="3" max="3"/>
    <col width="10" customWidth="1" min="4" max="4"/>
    <col width="10" customWidth="1" min="5" max="5"/>
    <col width="12" customWidth="1" min="6" max="6"/>
    <col width="16" customWidth="1" min="7" max="7"/>
    <col width="9" customWidth="1" min="8" max="8"/>
    <col width="12" customWidth="1" min="9" max="9"/>
    <col width="12" customWidth="1" min="10" max="10"/>
    <col width="12" customWidth="1" min="11" max="11"/>
  </cols>
  <sheetData>
    <row r="1">
      <c r="A1" s="55" t="inlineStr">
        <is>
          <t>Calculation sheet — Structural</t>
        </is>
      </c>
    </row>
    <row r="2">
      <c r="A2" s="56" t="inlineStr">
        <is>
          <t>Yellow cells are yours to change. Every grey cell is a live Excel formula reading those yellow cells — correct a dimension or add a row and the totals, the Takeoff sheet and the priced columns all follow automatically. Nothing here is a typed-in number pretending to be a calculation.</t>
        </is>
      </c>
    </row>
    <row r="3"/>
    <row r="4">
      <c r="A4" s="21" t="inlineStr">
        <is>
          <t>Concrete slab on grade, 5 in, 4000 psi, over 10 mil vapour retarder on 4 in compacted aggregate base</t>
        </is>
      </c>
      <c r="D4" s="56" t="inlineStr">
        <is>
          <t>03 30 00 | slab on grade | A-101, S-101, A-401</t>
        </is>
      </c>
    </row>
    <row r="5">
      <c r="A5" s="56" t="inlineStr">
        <is>
          <t>Use when the take-off produced an AREA (from a floor plan or the area schedule) rather than a length x width. Deducted openings (stair/lift voids) go in as their own negative-area rows so the deduction stays visible.</t>
        </is>
      </c>
    </row>
    <row r="6">
      <c r="A6" s="57" t="inlineStr">
        <is>
          <t>#</t>
        </is>
      </c>
      <c r="B6" s="57" t="inlineStr">
        <is>
          <t>Level / Zone (use a negative area to deduct a void)</t>
        </is>
      </c>
      <c r="C6" s="57" t="inlineStr">
        <is>
          <t>Area
(m2)</t>
        </is>
      </c>
      <c r="D6" s="57" t="inlineStr">
        <is>
          <t>Thickness
(m)</t>
        </is>
      </c>
      <c r="E6" s="57" t="inlineStr">
        <is>
          <t>Factor</t>
        </is>
      </c>
      <c r="F6" s="57" t="inlineStr">
        <is>
          <t>Concrete
(m3)</t>
        </is>
      </c>
      <c r="G6" s="57" t="inlineStr">
        <is>
          <t>Plan area
(m2)</t>
        </is>
      </c>
      <c r="H6" s="57" t="inlineStr">
        <is>
          <t>Formwork (soffit)
(m2)</t>
        </is>
      </c>
    </row>
    <row r="7">
      <c r="A7" s="56" t="inlineStr">
        <is>
          <t>edit →</t>
        </is>
      </c>
      <c r="B7" s="58" t="inlineStr">
        <is>
          <t>editable</t>
        </is>
      </c>
      <c r="C7" s="58" t="inlineStr">
        <is>
          <t>editable</t>
        </is>
      </c>
      <c r="D7" s="58" t="inlineStr">
        <is>
          <t>editable</t>
        </is>
      </c>
      <c r="E7" s="58" t="inlineStr">
        <is>
          <t>editable</t>
        </is>
      </c>
      <c r="F7" s="58" t="inlineStr">
        <is>
          <t>formula</t>
        </is>
      </c>
      <c r="G7" s="58" t="inlineStr">
        <is>
          <t>formula</t>
        </is>
      </c>
      <c r="H7" s="58" t="inlineStr">
        <is>
          <t>formula</t>
        </is>
      </c>
    </row>
    <row r="8">
      <c r="A8" s="56" t="n">
        <v>1</v>
      </c>
      <c r="B8" s="59" t="inlineStr">
        <is>
          <t>Building footprint, A-101</t>
        </is>
      </c>
      <c r="C8" s="84" t="n">
        <v>297.29</v>
      </c>
      <c r="D8" s="84" t="n">
        <v>0.127</v>
      </c>
      <c r="E8" s="84" t="n">
        <v>1</v>
      </c>
      <c r="F8" s="85">
        <f>(C8*D8)*E8</f>
        <v/>
      </c>
      <c r="G8" s="85">
        <f>C8</f>
        <v/>
      </c>
      <c r="H8" s="85">
        <f>C8</f>
        <v/>
      </c>
    </row>
    <row r="9">
      <c r="A9" s="56" t="inlineStr">
        <is>
          <t>note: linked to the Backup sheet as m2 x 10.7639 = SF</t>
        </is>
      </c>
      <c r="F9" s="86">
        <f>SUM(F8:F8)</f>
        <v/>
      </c>
      <c r="G9" s="86">
        <f>SUM(G8:G8)</f>
        <v/>
      </c>
      <c r="H9" s="86">
        <f>SUM(H8:H8)</f>
        <v/>
      </c>
    </row>
    <row r="10"/>
    <row r="11"/>
    <row r="12">
      <c r="A12" s="21" t="inlineStr">
        <is>
          <t>Concrete pad footing F1, 4'-0 x 4'-0 x 1'-4 deep, 3000 psi</t>
        </is>
      </c>
      <c r="G12" s="56" t="inlineStr">
        <is>
          <t>03 30 00 | footings | S-101, S-501</t>
        </is>
      </c>
    </row>
    <row r="13">
      <c r="A13"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14">
      <c r="A14" s="57" t="inlineStr">
        <is>
          <t>#</t>
        </is>
      </c>
      <c r="B14" s="57" t="inlineStr">
        <is>
          <t>Type / Location</t>
        </is>
      </c>
      <c r="C14" s="57" t="inlineStr">
        <is>
          <t>Type mark</t>
        </is>
      </c>
      <c r="D14" s="57" t="inlineStr">
        <is>
          <t>Width
(m)</t>
        </is>
      </c>
      <c r="E14" s="57" t="inlineStr">
        <is>
          <t>Height
(m)</t>
        </is>
      </c>
      <c r="F14" s="57" t="inlineStr">
        <is>
          <t>Per unit</t>
        </is>
      </c>
      <c r="G14" s="57" t="inlineStr">
        <is>
          <t>No.</t>
        </is>
      </c>
      <c r="H14" s="57" t="inlineStr">
        <is>
          <t>Basis / Source</t>
        </is>
      </c>
      <c r="I14" s="57" t="inlineStr">
        <is>
          <t>Quantity
(ea)</t>
        </is>
      </c>
      <c r="J14" s="57" t="inlineStr">
        <is>
          <t>Leaf area
(m2)</t>
        </is>
      </c>
      <c r="K14" s="57" t="inlineStr">
        <is>
          <t>F1</t>
        </is>
      </c>
    </row>
    <row r="15">
      <c r="A15" s="56" t="inlineStr">
        <is>
          <t>edit →</t>
        </is>
      </c>
      <c r="B15" s="58" t="inlineStr">
        <is>
          <t>editable</t>
        </is>
      </c>
      <c r="C15" s="58" t="inlineStr">
        <is>
          <t>editable</t>
        </is>
      </c>
      <c r="D15" s="58" t="inlineStr">
        <is>
          <t>editable</t>
        </is>
      </c>
      <c r="E15" s="58" t="inlineStr">
        <is>
          <t>editable</t>
        </is>
      </c>
      <c r="F15" s="58" t="inlineStr">
        <is>
          <t>editable</t>
        </is>
      </c>
      <c r="G15" s="58" t="inlineStr">
        <is>
          <t>editable</t>
        </is>
      </c>
      <c r="H15" s="58" t="inlineStr">
        <is>
          <t>editable</t>
        </is>
      </c>
      <c r="I15" s="58" t="inlineStr">
        <is>
          <t>formula</t>
        </is>
      </c>
      <c r="J15" s="58" t="inlineStr">
        <is>
          <t>formula</t>
        </is>
      </c>
      <c r="K15" s="58" t="inlineStr">
        <is>
          <t>formula</t>
        </is>
      </c>
    </row>
    <row r="16">
      <c r="A16" s="56" t="n">
        <v>1</v>
      </c>
      <c r="B16" s="59" t="inlineStr">
        <is>
          <t>Pad footing F1 at grid intersections, S-101</t>
        </is>
      </c>
      <c r="C16" s="59" t="inlineStr">
        <is>
          <t>F1</t>
        </is>
      </c>
      <c r="D16" s="60" t="n"/>
      <c r="E16" s="60" t="n"/>
      <c r="F16" s="60" t="n">
        <v>1</v>
      </c>
      <c r="G16" s="60" t="n">
        <v>15</v>
      </c>
      <c r="H16" s="59" t="n"/>
      <c r="I16" s="85">
        <f>G16*F16</f>
        <v/>
      </c>
      <c r="J16" s="85">
        <f>G16*D16*E16</f>
        <v/>
      </c>
      <c r="K16" s="85">
        <f>IF($C16=K$14,I16,0)</f>
        <v/>
      </c>
    </row>
    <row r="17">
      <c r="A17" s="64" t="inlineStr">
        <is>
          <t>TOTAL</t>
        </is>
      </c>
      <c r="I17" s="86">
        <f>SUM(I16:I16)</f>
        <v/>
      </c>
      <c r="J17" s="86">
        <f>SUM(J16:J16)</f>
        <v/>
      </c>
      <c r="K17" s="86">
        <f>SUM(K16:K16)</f>
        <v/>
      </c>
    </row>
    <row r="18"/>
    <row r="19">
      <c r="A19" s="21" t="inlineStr">
        <is>
          <t>Continuous strip footing SF1, 2'-6 wide x 1'-6 deep, 3000 psi</t>
        </is>
      </c>
      <c r="F19" s="56" t="inlineStr">
        <is>
          <t>03 30 00 | strip footing | S-101, S-501</t>
        </is>
      </c>
    </row>
    <row r="20">
      <c r="A20" s="56" t="inlineStr">
        <is>
          <t>Route length measured off the plan or riser. Vertical drops/risers entered as their own rows so the client can see and adjust them separately from horizontal runs. For an irregular shape, put the measured area/length in the 'measured directly' column and leave the dimension columns blank.</t>
        </is>
      </c>
    </row>
    <row r="21">
      <c r="A21" s="57" t="inlineStr">
        <is>
          <t>#</t>
        </is>
      </c>
      <c r="B21" s="57" t="inlineStr">
        <is>
          <t>Run / Segment</t>
        </is>
      </c>
      <c r="C21" s="57" t="inlineStr">
        <is>
          <t>No.</t>
        </is>
      </c>
      <c r="D21" s="57" t="inlineStr">
        <is>
          <t>Length each
(m)</t>
        </is>
      </c>
      <c r="E21" s="57" t="inlineStr">
        <is>
          <t>Size / Type</t>
        </is>
      </c>
      <c r="F21" s="57" t="inlineStr">
        <is>
          <t>Length (measured directly)
(m)</t>
        </is>
      </c>
      <c r="G21" s="57" t="inlineStr">
        <is>
          <t>Factor</t>
        </is>
      </c>
      <c r="H21" s="57" t="inlineStr">
        <is>
          <t>Length
(m)</t>
        </is>
      </c>
      <c r="I21" s="57" t="inlineStr">
        <is>
          <t>SF1</t>
        </is>
      </c>
    </row>
    <row r="22">
      <c r="A22" s="56" t="inlineStr">
        <is>
          <t>edit →</t>
        </is>
      </c>
      <c r="B22" s="58" t="inlineStr">
        <is>
          <t>editable</t>
        </is>
      </c>
      <c r="C22" s="58" t="inlineStr">
        <is>
          <t>editable</t>
        </is>
      </c>
      <c r="D22" s="58" t="inlineStr">
        <is>
          <t>editable</t>
        </is>
      </c>
      <c r="E22" s="58" t="inlineStr">
        <is>
          <t>editable</t>
        </is>
      </c>
      <c r="F22" s="58" t="inlineStr">
        <is>
          <t>editable</t>
        </is>
      </c>
      <c r="G22" s="58" t="inlineStr">
        <is>
          <t>editable</t>
        </is>
      </c>
      <c r="H22" s="58" t="inlineStr">
        <is>
          <t>formula</t>
        </is>
      </c>
      <c r="I22" s="58" t="inlineStr">
        <is>
          <t>formula</t>
        </is>
      </c>
    </row>
    <row r="23">
      <c r="A23" s="56" t="n">
        <v>1</v>
      </c>
      <c r="B23" s="59" t="inlineStr">
        <is>
          <t>Perimeter strip footing SF1, S-101</t>
        </is>
      </c>
      <c r="C23" s="60" t="n">
        <v>1</v>
      </c>
      <c r="D23" s="60" t="n">
        <v>0</v>
      </c>
      <c r="E23" s="59" t="inlineStr">
        <is>
          <t>SF1</t>
        </is>
      </c>
      <c r="F23" s="84" t="n">
        <v>73.152</v>
      </c>
      <c r="G23" s="84" t="n">
        <v>1</v>
      </c>
      <c r="H23" s="85">
        <f>(IF(F23&gt;0,C23*F23,C23*D23))*G23</f>
        <v/>
      </c>
      <c r="I23" s="85">
        <f>IF($E23=I$21,H23,0)</f>
        <v/>
      </c>
    </row>
    <row r="24">
      <c r="A24" s="56" t="inlineStr">
        <is>
          <t>note: linked to the Backup sheet as m x 3.28084 = LF</t>
        </is>
      </c>
      <c r="H24" s="86">
        <f>SUM(H23:H23)</f>
        <v/>
      </c>
      <c r="I24" s="86">
        <f>SUM(I23:I23)</f>
        <v/>
      </c>
    </row>
    <row r="25"/>
    <row r="26"/>
    <row r="27">
      <c r="A27" s="21" t="inlineStr">
        <is>
          <t>Open web steel joist 24K7, spanning 40'-0</t>
        </is>
      </c>
      <c r="G27" s="56" t="inlineStr">
        <is>
          <t>05 21 00 | steel joists | S-201, S-501</t>
        </is>
      </c>
    </row>
    <row r="28">
      <c r="A28" s="56" t="inlineStr">
        <is>
          <t>⚠ If the item is priced per PR / PAIR, the No. column must count PAIRS, not leaves. A double door is 1 pair = 2 leaves, and counting leaves here would double the client's quantity. (Real confusion 25 Jul 2026: 5 openings were recorded as 6, the true figure being 5 openings / 9 leaves.) Counted per type off the schedule or plan. Use No. x Per unit when the count is derived (e.g. 6 rooms x 4 points = 24) so the client can change either factor. Width/Height are optional and only informational — leave them blank for fixtures with no size in the schedule.</t>
        </is>
      </c>
    </row>
    <row r="29">
      <c r="A29" s="57" t="inlineStr">
        <is>
          <t>#</t>
        </is>
      </c>
      <c r="B29" s="57" t="inlineStr">
        <is>
          <t>Type / Location</t>
        </is>
      </c>
      <c r="C29" s="57" t="inlineStr">
        <is>
          <t>Type mark</t>
        </is>
      </c>
      <c r="D29" s="57" t="inlineStr">
        <is>
          <t>Width
(m)</t>
        </is>
      </c>
      <c r="E29" s="57" t="inlineStr">
        <is>
          <t>Height
(m)</t>
        </is>
      </c>
      <c r="F29" s="57" t="inlineStr">
        <is>
          <t>Per unit</t>
        </is>
      </c>
      <c r="G29" s="57" t="inlineStr">
        <is>
          <t>No.</t>
        </is>
      </c>
      <c r="H29" s="57" t="inlineStr">
        <is>
          <t>Basis / Source</t>
        </is>
      </c>
      <c r="I29" s="57" t="inlineStr">
        <is>
          <t>Quantity
(ea)</t>
        </is>
      </c>
      <c r="J29" s="57" t="inlineStr">
        <is>
          <t>Leaf area
(m2)</t>
        </is>
      </c>
      <c r="K29" s="57" t="inlineStr">
        <is>
          <t>J1</t>
        </is>
      </c>
    </row>
    <row r="30">
      <c r="A30" s="56" t="inlineStr">
        <is>
          <t>edit →</t>
        </is>
      </c>
      <c r="B30" s="58" t="inlineStr">
        <is>
          <t>editable</t>
        </is>
      </c>
      <c r="C30" s="58" t="inlineStr">
        <is>
          <t>editable</t>
        </is>
      </c>
      <c r="D30" s="58" t="inlineStr">
        <is>
          <t>editable</t>
        </is>
      </c>
      <c r="E30" s="58" t="inlineStr">
        <is>
          <t>editable</t>
        </is>
      </c>
      <c r="F30" s="58" t="inlineStr">
        <is>
          <t>editable</t>
        </is>
      </c>
      <c r="G30" s="58" t="inlineStr">
        <is>
          <t>editable</t>
        </is>
      </c>
      <c r="H30" s="58" t="inlineStr">
        <is>
          <t>editable</t>
        </is>
      </c>
      <c r="I30" s="58" t="inlineStr">
        <is>
          <t>formula</t>
        </is>
      </c>
      <c r="J30" s="58" t="inlineStr">
        <is>
          <t>formula</t>
        </is>
      </c>
      <c r="K30" s="58" t="inlineStr">
        <is>
          <t>formula</t>
        </is>
      </c>
    </row>
    <row r="31">
      <c r="A31" s="56" t="n">
        <v>1</v>
      </c>
      <c r="B31" s="59" t="inlineStr">
        <is>
          <t>24K7 joists at 5'-0 o.c., S-201</t>
        </is>
      </c>
      <c r="C31" s="59" t="inlineStr">
        <is>
          <t>J1</t>
        </is>
      </c>
      <c r="D31" s="60" t="n"/>
      <c r="E31" s="60" t="n"/>
      <c r="F31" s="60" t="n">
        <v>1</v>
      </c>
      <c r="G31" s="60" t="n">
        <v>15</v>
      </c>
      <c r="H31" s="59" t="n"/>
      <c r="I31" s="85">
        <f>G31*F31</f>
        <v/>
      </c>
      <c r="J31" s="85">
        <f>G31*D31*E31</f>
        <v/>
      </c>
      <c r="K31" s="85">
        <f>IF($C31=K$29,I31,0)</f>
        <v/>
      </c>
    </row>
    <row r="32">
      <c r="A32" s="64" t="inlineStr">
        <is>
          <t>TOTAL</t>
        </is>
      </c>
      <c r="I32" s="86">
        <f>SUM(I31:I31)</f>
        <v/>
      </c>
      <c r="J32" s="86">
        <f>SUM(J31:J31)</f>
        <v/>
      </c>
      <c r="K32" s="86">
        <f>SUM(K31:K31)</f>
        <v/>
      </c>
    </row>
    <row r="33"/>
    <row r="34">
      <c r="A34" s="21" t="inlineStr">
        <is>
          <t>Metal roof deck, 1-1/2 in type B, 22 gauge</t>
        </is>
      </c>
      <c r="G34" s="56" t="inlineStr">
        <is>
          <t>05 31 00 | metal deck | S-201, A-301</t>
        </is>
      </c>
    </row>
    <row r="35">
      <c r="A35" s="56" t="inlineStr">
        <is>
          <t>One row per room or zone as measured off the plan. The finish CODE column routes the area into that finish type's own column automatically, so a room can be re-coded without re-measuring it. For an irregular shape, put the measured area/length in the 'measured directly' column and leave the dimension columns blank.</t>
        </is>
      </c>
    </row>
    <row r="36">
      <c r="A36" s="57" t="inlineStr">
        <is>
          <t>#</t>
        </is>
      </c>
      <c r="B36" s="57" t="inlineStr">
        <is>
          <t>Room / Zone</t>
        </is>
      </c>
      <c r="C36" s="57" t="inlineStr">
        <is>
          <t>No.</t>
        </is>
      </c>
      <c r="D36" s="57" t="inlineStr">
        <is>
          <t>Length
(m)</t>
        </is>
      </c>
      <c r="E36" s="57" t="inlineStr">
        <is>
          <t>Width
(m)</t>
        </is>
      </c>
      <c r="F36" s="57" t="inlineStr">
        <is>
          <t>Finish code</t>
        </is>
      </c>
      <c r="G36" s="57" t="inlineStr">
        <is>
          <t>Area (measured directly)
(m2)</t>
        </is>
      </c>
      <c r="H36" s="57" t="inlineStr">
        <is>
          <t>Factor</t>
        </is>
      </c>
      <c r="I36" s="57" t="inlineStr">
        <is>
          <t>Area
(m2)</t>
        </is>
      </c>
      <c r="J36" s="57" t="inlineStr">
        <is>
          <t>DECK</t>
        </is>
      </c>
    </row>
    <row r="37">
      <c r="A37" s="56" t="inlineStr">
        <is>
          <t>edit →</t>
        </is>
      </c>
      <c r="B37" s="58" t="inlineStr">
        <is>
          <t>editable</t>
        </is>
      </c>
      <c r="C37" s="58" t="inlineStr">
        <is>
          <t>editable</t>
        </is>
      </c>
      <c r="D37" s="58" t="inlineStr">
        <is>
          <t>editable</t>
        </is>
      </c>
      <c r="E37" s="58" t="inlineStr">
        <is>
          <t>editable</t>
        </is>
      </c>
      <c r="F37" s="58" t="inlineStr">
        <is>
          <t>editable</t>
        </is>
      </c>
      <c r="G37" s="58" t="inlineStr">
        <is>
          <t>editable</t>
        </is>
      </c>
      <c r="H37" s="58" t="inlineStr">
        <is>
          <t>editable</t>
        </is>
      </c>
      <c r="I37" s="58" t="inlineStr">
        <is>
          <t>formula</t>
        </is>
      </c>
      <c r="J37" s="58" t="inlineStr">
        <is>
          <t>formula</t>
        </is>
      </c>
    </row>
    <row r="38">
      <c r="A38" s="56" t="n">
        <v>1</v>
      </c>
      <c r="B38" s="59" t="inlineStr">
        <is>
          <t>Roof deck = footprint, S-201</t>
        </is>
      </c>
      <c r="C38" s="60" t="n">
        <v>1</v>
      </c>
      <c r="D38" s="60" t="n">
        <v>0</v>
      </c>
      <c r="E38" s="60" t="n">
        <v>0</v>
      </c>
      <c r="F38" s="59" t="inlineStr">
        <is>
          <t>DECK</t>
        </is>
      </c>
      <c r="G38" s="84" t="n">
        <v>297.29</v>
      </c>
      <c r="H38" s="84" t="n">
        <v>1</v>
      </c>
      <c r="I38" s="85">
        <f>(IF(G38&gt;0,C38*G38,C38*D38*E38))*H38</f>
        <v/>
      </c>
      <c r="J38" s="85">
        <f>IF($F38=J$36,I38,0)</f>
        <v/>
      </c>
    </row>
    <row r="39">
      <c r="A39" s="56" t="inlineStr">
        <is>
          <t>note: linked to the Backup sheet as m2 x 10.7639 = SF</t>
        </is>
      </c>
      <c r="I39" s="86">
        <f>SUM(I38:I38)</f>
        <v/>
      </c>
      <c r="J39" s="86">
        <f>SUM(J38:J38)</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1.xml><?xml version="1.0" encoding="utf-8"?>
<worksheet xmlns="http://schemas.openxmlformats.org/spreadsheetml/2006/main">
  <sheetPr>
    <outlinePr summaryBelow="1" summaryRight="1"/>
    <pageSetUpPr fitToPage="1"/>
  </sheetPr>
  <dimension ref="A1:X49"/>
  <sheetViews>
    <sheetView workbookViewId="0">
      <pane xSplit="6" ySplit="10" topLeftCell="G11" activePane="bottomRight" state="frozen"/>
      <selection pane="topRight" activeCell="A1" sqref="A1"/>
      <selection pane="bottomLeft" activeCell="A1" sqref="A1"/>
      <selection pane="bottomRight" activeCell="A1" sqref="A1"/>
    </sheetView>
  </sheetViews>
  <sheetFormatPr baseColWidth="8" defaultRowHeight="15"/>
  <cols>
    <col width="30" customWidth="1" min="1" max="1"/>
    <col width="8" customWidth="1" min="2" max="2"/>
    <col width="14" customWidth="1" min="3" max="3"/>
    <col width="15" customWidth="1" min="4" max="4"/>
    <col width="13" customWidth="1" min="5" max="5"/>
    <col width="13" customWidth="1" min="6" max="6"/>
    <col width="6" customWidth="1" min="7" max="7"/>
    <col width="6" customWidth="1" min="8" max="8"/>
    <col width="6" customWidth="1" min="9" max="9"/>
    <col width="6" customWidth="1" min="10" max="10"/>
    <col width="6" customWidth="1" min="11" max="11"/>
    <col width="6" customWidth="1" min="12" max="12"/>
    <col width="6" customWidth="1" min="13" max="13"/>
    <col width="6" customWidth="1" min="14" max="14"/>
    <col width="6" customWidth="1" min="15" max="15"/>
    <col width="6" customWidth="1" min="16" max="16"/>
    <col width="6" customWidth="1" min="17" max="17"/>
    <col width="6" customWidth="1" min="18" max="18"/>
    <col width="6" customWidth="1" min="19" max="19"/>
    <col width="6" customWidth="1" min="20" max="20"/>
    <col width="6" customWidth="1" min="21" max="21"/>
    <col width="6" customWidth="1" min="22" max="22"/>
    <col width="6" customWidth="1" min="23" max="23"/>
    <col width="6" customWidth="1" min="24" max="24"/>
  </cols>
  <sheetData>
    <row r="1">
      <c r="A1" s="20" t="inlineStr">
        <is>
          <t>Preliminary Schedule &amp; S-Curve — % of work by month</t>
        </is>
      </c>
    </row>
    <row r="2"/>
    <row r="3">
      <c r="A3" s="7" t="inlineStr">
        <is>
          <t>WHAT WE PROVIDED: the work packages below and each one's SHARE OF THE TOTAL WORK as a percentage, derived from the measured quantities in this workbook.  WHAT YOU SUPPLY: the START MONTH and FINISH MONTH for each package — the two yellow columns. Sequencing depends on your crews, site access and method, so it has to be yours. Months are RELATIVE (month 1 = your first month on site); no calendar dates are assumed anywhere.  WANT MONEY INSTEAD OF PERCENT? Multiply any figure here by your own contract value. We deliberately keep currency off this sheet: rates change, and your number is better than ours.  THIS IS NOT A CONSTRUCTION SCHEDULE — it is a first-draft planning aid, no warranty, not for submission as a contract schedule.</t>
        </is>
      </c>
    </row>
    <row r="4"/>
    <row r="5"/>
    <row r="6"/>
    <row r="7"/>
    <row r="8"/>
    <row r="9"/>
    <row r="10">
      <c r="A10" s="16" t="inlineStr">
        <is>
          <t>Work package (WBS)</t>
        </is>
      </c>
      <c r="B10" s="16" t="inlineStr">
        <is>
          <t>Items</t>
        </is>
      </c>
      <c r="C10" s="16" t="inlineStr">
        <is>
          <t>Price coverage</t>
        </is>
      </c>
      <c r="D10" s="16" t="inlineStr">
        <is>
          <t>% of total work</t>
        </is>
      </c>
      <c r="E10" s="16" t="inlineStr">
        <is>
          <t>START month</t>
        </is>
      </c>
      <c r="F10" s="16" t="inlineStr">
        <is>
          <t>FINISH month</t>
        </is>
      </c>
      <c r="G10" s="16" t="inlineStr">
        <is>
          <t>M1</t>
        </is>
      </c>
      <c r="H10" s="16" t="inlineStr">
        <is>
          <t>M2</t>
        </is>
      </c>
      <c r="I10" s="16" t="inlineStr">
        <is>
          <t>M3</t>
        </is>
      </c>
      <c r="J10" s="16" t="inlineStr">
        <is>
          <t>M4</t>
        </is>
      </c>
      <c r="K10" s="16" t="inlineStr">
        <is>
          <t>M5</t>
        </is>
      </c>
      <c r="L10" s="16" t="inlineStr">
        <is>
          <t>M6</t>
        </is>
      </c>
      <c r="M10" s="16" t="inlineStr">
        <is>
          <t>M7</t>
        </is>
      </c>
      <c r="N10" s="16" t="inlineStr">
        <is>
          <t>M8</t>
        </is>
      </c>
      <c r="O10" s="16" t="inlineStr">
        <is>
          <t>M9</t>
        </is>
      </c>
      <c r="P10" s="16" t="inlineStr">
        <is>
          <t>M10</t>
        </is>
      </c>
      <c r="Q10" s="16" t="inlineStr">
        <is>
          <t>M11</t>
        </is>
      </c>
      <c r="R10" s="16" t="inlineStr">
        <is>
          <t>M12</t>
        </is>
      </c>
      <c r="S10" s="16" t="inlineStr">
        <is>
          <t>M13</t>
        </is>
      </c>
      <c r="T10" s="16" t="inlineStr">
        <is>
          <t>M14</t>
        </is>
      </c>
      <c r="U10" s="16" t="inlineStr">
        <is>
          <t>M15</t>
        </is>
      </c>
      <c r="V10" s="16" t="inlineStr">
        <is>
          <t>M16</t>
        </is>
      </c>
      <c r="W10" s="16" t="inlineStr">
        <is>
          <t>M17</t>
        </is>
      </c>
      <c r="X10" s="16" t="inlineStr">
        <is>
          <t>M18</t>
        </is>
      </c>
    </row>
    <row r="11">
      <c r="A11" s="18" t="inlineStr">
        <is>
          <t>structural</t>
        </is>
      </c>
      <c r="B11" s="17" t="n">
        <v>5</v>
      </c>
      <c r="C11" s="67" t="n">
        <v>0.2</v>
      </c>
      <c r="D11" s="68" t="n">
        <v>0.0756</v>
      </c>
      <c r="E11" s="69" t="n"/>
      <c r="F11" s="69" t="n"/>
      <c r="G11" s="70">
        <f>IF(AND($E11&lt;&gt;"",$F11&lt;&gt;"",1&gt;=$E11,1&lt;=$F11),$D11/MAX(1,$F11-$E11+1),"")</f>
        <v/>
      </c>
      <c r="H11" s="70">
        <f>IF(AND($E11&lt;&gt;"",$F11&lt;&gt;"",2&gt;=$E11,2&lt;=$F11),$D11/MAX(1,$F11-$E11+1),"")</f>
        <v/>
      </c>
      <c r="I11" s="70">
        <f>IF(AND($E11&lt;&gt;"",$F11&lt;&gt;"",3&gt;=$E11,3&lt;=$F11),$D11/MAX(1,$F11-$E11+1),"")</f>
        <v/>
      </c>
      <c r="J11" s="70">
        <f>IF(AND($E11&lt;&gt;"",$F11&lt;&gt;"",4&gt;=$E11,4&lt;=$F11),$D11/MAX(1,$F11-$E11+1),"")</f>
        <v/>
      </c>
      <c r="K11" s="70">
        <f>IF(AND($E11&lt;&gt;"",$F11&lt;&gt;"",5&gt;=$E11,5&lt;=$F11),$D11/MAX(1,$F11-$E11+1),"")</f>
        <v/>
      </c>
      <c r="L11" s="70">
        <f>IF(AND($E11&lt;&gt;"",$F11&lt;&gt;"",6&gt;=$E11,6&lt;=$F11),$D11/MAX(1,$F11-$E11+1),"")</f>
        <v/>
      </c>
      <c r="M11" s="70">
        <f>IF(AND($E11&lt;&gt;"",$F11&lt;&gt;"",7&gt;=$E11,7&lt;=$F11),$D11/MAX(1,$F11-$E11+1),"")</f>
        <v/>
      </c>
      <c r="N11" s="70">
        <f>IF(AND($E11&lt;&gt;"",$F11&lt;&gt;"",8&gt;=$E11,8&lt;=$F11),$D11/MAX(1,$F11-$E11+1),"")</f>
        <v/>
      </c>
      <c r="O11" s="70">
        <f>IF(AND($E11&lt;&gt;"",$F11&lt;&gt;"",9&gt;=$E11,9&lt;=$F11),$D11/MAX(1,$F11-$E11+1),"")</f>
        <v/>
      </c>
      <c r="P11" s="70">
        <f>IF(AND($E11&lt;&gt;"",$F11&lt;&gt;"",10&gt;=$E11,10&lt;=$F11),$D11/MAX(1,$F11-$E11+1),"")</f>
        <v/>
      </c>
      <c r="Q11" s="70">
        <f>IF(AND($E11&lt;&gt;"",$F11&lt;&gt;"",11&gt;=$E11,11&lt;=$F11),$D11/MAX(1,$F11-$E11+1),"")</f>
        <v/>
      </c>
      <c r="R11" s="70">
        <f>IF(AND($E11&lt;&gt;"",$F11&lt;&gt;"",12&gt;=$E11,12&lt;=$F11),$D11/MAX(1,$F11-$E11+1),"")</f>
        <v/>
      </c>
      <c r="S11" s="70">
        <f>IF(AND($E11&lt;&gt;"",$F11&lt;&gt;"",13&gt;=$E11,13&lt;=$F11),$D11/MAX(1,$F11-$E11+1),"")</f>
        <v/>
      </c>
      <c r="T11" s="70">
        <f>IF(AND($E11&lt;&gt;"",$F11&lt;&gt;"",14&gt;=$E11,14&lt;=$F11),$D11/MAX(1,$F11-$E11+1),"")</f>
        <v/>
      </c>
      <c r="U11" s="70">
        <f>IF(AND($E11&lt;&gt;"",$F11&lt;&gt;"",15&gt;=$E11,15&lt;=$F11),$D11/MAX(1,$F11-$E11+1),"")</f>
        <v/>
      </c>
      <c r="V11" s="70">
        <f>IF(AND($E11&lt;&gt;"",$F11&lt;&gt;"",16&gt;=$E11,16&lt;=$F11),$D11/MAX(1,$F11-$E11+1),"")</f>
        <v/>
      </c>
      <c r="W11" s="70">
        <f>IF(AND($E11&lt;&gt;"",$F11&lt;&gt;"",17&gt;=$E11,17&lt;=$F11),$D11/MAX(1,$F11-$E11+1),"")</f>
        <v/>
      </c>
      <c r="X11" s="70">
        <f>IF(AND($E11&lt;&gt;"",$F11&lt;&gt;"",18&gt;=$E11,18&lt;=$F11),$D11/MAX(1,$F11-$E11+1),"")</f>
        <v/>
      </c>
    </row>
    <row r="12">
      <c r="A12" s="18" t="inlineStr">
        <is>
          <t>architectural</t>
        </is>
      </c>
      <c r="B12" s="17" t="n">
        <v>14</v>
      </c>
      <c r="C12" s="67" t="n">
        <v>0.2857142857142857</v>
      </c>
      <c r="D12" s="68" t="n">
        <v>0.2014</v>
      </c>
      <c r="E12" s="69" t="n"/>
      <c r="F12" s="69" t="n"/>
      <c r="G12" s="70">
        <f>IF(AND($E12&lt;&gt;"",$F12&lt;&gt;"",1&gt;=$E12,1&lt;=$F12),$D12/MAX(1,$F12-$E12+1),"")</f>
        <v/>
      </c>
      <c r="H12" s="70">
        <f>IF(AND($E12&lt;&gt;"",$F12&lt;&gt;"",2&gt;=$E12,2&lt;=$F12),$D12/MAX(1,$F12-$E12+1),"")</f>
        <v/>
      </c>
      <c r="I12" s="70">
        <f>IF(AND($E12&lt;&gt;"",$F12&lt;&gt;"",3&gt;=$E12,3&lt;=$F12),$D12/MAX(1,$F12-$E12+1),"")</f>
        <v/>
      </c>
      <c r="J12" s="70">
        <f>IF(AND($E12&lt;&gt;"",$F12&lt;&gt;"",4&gt;=$E12,4&lt;=$F12),$D12/MAX(1,$F12-$E12+1),"")</f>
        <v/>
      </c>
      <c r="K12" s="70">
        <f>IF(AND($E12&lt;&gt;"",$F12&lt;&gt;"",5&gt;=$E12,5&lt;=$F12),$D12/MAX(1,$F12-$E12+1),"")</f>
        <v/>
      </c>
      <c r="L12" s="70">
        <f>IF(AND($E12&lt;&gt;"",$F12&lt;&gt;"",6&gt;=$E12,6&lt;=$F12),$D12/MAX(1,$F12-$E12+1),"")</f>
        <v/>
      </c>
      <c r="M12" s="70">
        <f>IF(AND($E12&lt;&gt;"",$F12&lt;&gt;"",7&gt;=$E12,7&lt;=$F12),$D12/MAX(1,$F12-$E12+1),"")</f>
        <v/>
      </c>
      <c r="N12" s="70">
        <f>IF(AND($E12&lt;&gt;"",$F12&lt;&gt;"",8&gt;=$E12,8&lt;=$F12),$D12/MAX(1,$F12-$E12+1),"")</f>
        <v/>
      </c>
      <c r="O12" s="70">
        <f>IF(AND($E12&lt;&gt;"",$F12&lt;&gt;"",9&gt;=$E12,9&lt;=$F12),$D12/MAX(1,$F12-$E12+1),"")</f>
        <v/>
      </c>
      <c r="P12" s="70">
        <f>IF(AND($E12&lt;&gt;"",$F12&lt;&gt;"",10&gt;=$E12,10&lt;=$F12),$D12/MAX(1,$F12-$E12+1),"")</f>
        <v/>
      </c>
      <c r="Q12" s="70">
        <f>IF(AND($E12&lt;&gt;"",$F12&lt;&gt;"",11&gt;=$E12,11&lt;=$F12),$D12/MAX(1,$F12-$E12+1),"")</f>
        <v/>
      </c>
      <c r="R12" s="70">
        <f>IF(AND($E12&lt;&gt;"",$F12&lt;&gt;"",12&gt;=$E12,12&lt;=$F12),$D12/MAX(1,$F12-$E12+1),"")</f>
        <v/>
      </c>
      <c r="S12" s="70">
        <f>IF(AND($E12&lt;&gt;"",$F12&lt;&gt;"",13&gt;=$E12,13&lt;=$F12),$D12/MAX(1,$F12-$E12+1),"")</f>
        <v/>
      </c>
      <c r="T12" s="70">
        <f>IF(AND($E12&lt;&gt;"",$F12&lt;&gt;"",14&gt;=$E12,14&lt;=$F12),$D12/MAX(1,$F12-$E12+1),"")</f>
        <v/>
      </c>
      <c r="U12" s="70">
        <f>IF(AND($E12&lt;&gt;"",$F12&lt;&gt;"",15&gt;=$E12,15&lt;=$F12),$D12/MAX(1,$F12-$E12+1),"")</f>
        <v/>
      </c>
      <c r="V12" s="70">
        <f>IF(AND($E12&lt;&gt;"",$F12&lt;&gt;"",16&gt;=$E12,16&lt;=$F12),$D12/MAX(1,$F12-$E12+1),"")</f>
        <v/>
      </c>
      <c r="W12" s="70">
        <f>IF(AND($E12&lt;&gt;"",$F12&lt;&gt;"",17&gt;=$E12,17&lt;=$F12),$D12/MAX(1,$F12-$E12+1),"")</f>
        <v/>
      </c>
      <c r="X12" s="70">
        <f>IF(AND($E12&lt;&gt;"",$F12&lt;&gt;"",18&gt;=$E12,18&lt;=$F12),$D12/MAX(1,$F12-$E12+1),"")</f>
        <v/>
      </c>
    </row>
    <row r="13">
      <c r="A13" s="18" t="inlineStr">
        <is>
          <t>interior</t>
        </is>
      </c>
      <c r="B13" s="17" t="n">
        <v>11</v>
      </c>
      <c r="C13" s="71" t="n">
        <v>0.7272727272727273</v>
      </c>
      <c r="D13" s="68" t="n">
        <v>0.2004</v>
      </c>
      <c r="E13" s="69" t="n"/>
      <c r="F13" s="69" t="n"/>
      <c r="G13" s="70">
        <f>IF(AND($E13&lt;&gt;"",$F13&lt;&gt;"",1&gt;=$E13,1&lt;=$F13),$D13/MAX(1,$F13-$E13+1),"")</f>
        <v/>
      </c>
      <c r="H13" s="70">
        <f>IF(AND($E13&lt;&gt;"",$F13&lt;&gt;"",2&gt;=$E13,2&lt;=$F13),$D13/MAX(1,$F13-$E13+1),"")</f>
        <v/>
      </c>
      <c r="I13" s="70">
        <f>IF(AND($E13&lt;&gt;"",$F13&lt;&gt;"",3&gt;=$E13,3&lt;=$F13),$D13/MAX(1,$F13-$E13+1),"")</f>
        <v/>
      </c>
      <c r="J13" s="70">
        <f>IF(AND($E13&lt;&gt;"",$F13&lt;&gt;"",4&gt;=$E13,4&lt;=$F13),$D13/MAX(1,$F13-$E13+1),"")</f>
        <v/>
      </c>
      <c r="K13" s="70">
        <f>IF(AND($E13&lt;&gt;"",$F13&lt;&gt;"",5&gt;=$E13,5&lt;=$F13),$D13/MAX(1,$F13-$E13+1),"")</f>
        <v/>
      </c>
      <c r="L13" s="70">
        <f>IF(AND($E13&lt;&gt;"",$F13&lt;&gt;"",6&gt;=$E13,6&lt;=$F13),$D13/MAX(1,$F13-$E13+1),"")</f>
        <v/>
      </c>
      <c r="M13" s="70">
        <f>IF(AND($E13&lt;&gt;"",$F13&lt;&gt;"",7&gt;=$E13,7&lt;=$F13),$D13/MAX(1,$F13-$E13+1),"")</f>
        <v/>
      </c>
      <c r="N13" s="70">
        <f>IF(AND($E13&lt;&gt;"",$F13&lt;&gt;"",8&gt;=$E13,8&lt;=$F13),$D13/MAX(1,$F13-$E13+1),"")</f>
        <v/>
      </c>
      <c r="O13" s="70">
        <f>IF(AND($E13&lt;&gt;"",$F13&lt;&gt;"",9&gt;=$E13,9&lt;=$F13),$D13/MAX(1,$F13-$E13+1),"")</f>
        <v/>
      </c>
      <c r="P13" s="70">
        <f>IF(AND($E13&lt;&gt;"",$F13&lt;&gt;"",10&gt;=$E13,10&lt;=$F13),$D13/MAX(1,$F13-$E13+1),"")</f>
        <v/>
      </c>
      <c r="Q13" s="70">
        <f>IF(AND($E13&lt;&gt;"",$F13&lt;&gt;"",11&gt;=$E13,11&lt;=$F13),$D13/MAX(1,$F13-$E13+1),"")</f>
        <v/>
      </c>
      <c r="R13" s="70">
        <f>IF(AND($E13&lt;&gt;"",$F13&lt;&gt;"",12&gt;=$E13,12&lt;=$F13),$D13/MAX(1,$F13-$E13+1),"")</f>
        <v/>
      </c>
      <c r="S13" s="70">
        <f>IF(AND($E13&lt;&gt;"",$F13&lt;&gt;"",13&gt;=$E13,13&lt;=$F13),$D13/MAX(1,$F13-$E13+1),"")</f>
        <v/>
      </c>
      <c r="T13" s="70">
        <f>IF(AND($E13&lt;&gt;"",$F13&lt;&gt;"",14&gt;=$E13,14&lt;=$F13),$D13/MAX(1,$F13-$E13+1),"")</f>
        <v/>
      </c>
      <c r="U13" s="70">
        <f>IF(AND($E13&lt;&gt;"",$F13&lt;&gt;"",15&gt;=$E13,15&lt;=$F13),$D13/MAX(1,$F13-$E13+1),"")</f>
        <v/>
      </c>
      <c r="V13" s="70">
        <f>IF(AND($E13&lt;&gt;"",$F13&lt;&gt;"",16&gt;=$E13,16&lt;=$F13),$D13/MAX(1,$F13-$E13+1),"")</f>
        <v/>
      </c>
      <c r="W13" s="70">
        <f>IF(AND($E13&lt;&gt;"",$F13&lt;&gt;"",17&gt;=$E13,17&lt;=$F13),$D13/MAX(1,$F13-$E13+1),"")</f>
        <v/>
      </c>
      <c r="X13" s="70">
        <f>IF(AND($E13&lt;&gt;"",$F13&lt;&gt;"",18&gt;=$E13,18&lt;=$F13),$D13/MAX(1,$F13-$E13+1),"")</f>
        <v/>
      </c>
    </row>
    <row r="14">
      <c r="A14" s="18" t="inlineStr">
        <is>
          <t>plumbing</t>
        </is>
      </c>
      <c r="B14" s="17" t="n">
        <v>5</v>
      </c>
      <c r="C14" s="71" t="n">
        <v>0.8</v>
      </c>
      <c r="D14" s="68" t="n">
        <v>0.3716</v>
      </c>
      <c r="E14" s="69" t="n"/>
      <c r="F14" s="69" t="n"/>
      <c r="G14" s="70">
        <f>IF(AND($E14&lt;&gt;"",$F14&lt;&gt;"",1&gt;=$E14,1&lt;=$F14),$D14/MAX(1,$F14-$E14+1),"")</f>
        <v/>
      </c>
      <c r="H14" s="70">
        <f>IF(AND($E14&lt;&gt;"",$F14&lt;&gt;"",2&gt;=$E14,2&lt;=$F14),$D14/MAX(1,$F14-$E14+1),"")</f>
        <v/>
      </c>
      <c r="I14" s="70">
        <f>IF(AND($E14&lt;&gt;"",$F14&lt;&gt;"",3&gt;=$E14,3&lt;=$F14),$D14/MAX(1,$F14-$E14+1),"")</f>
        <v/>
      </c>
      <c r="J14" s="70">
        <f>IF(AND($E14&lt;&gt;"",$F14&lt;&gt;"",4&gt;=$E14,4&lt;=$F14),$D14/MAX(1,$F14-$E14+1),"")</f>
        <v/>
      </c>
      <c r="K14" s="70">
        <f>IF(AND($E14&lt;&gt;"",$F14&lt;&gt;"",5&gt;=$E14,5&lt;=$F14),$D14/MAX(1,$F14-$E14+1),"")</f>
        <v/>
      </c>
      <c r="L14" s="70">
        <f>IF(AND($E14&lt;&gt;"",$F14&lt;&gt;"",6&gt;=$E14,6&lt;=$F14),$D14/MAX(1,$F14-$E14+1),"")</f>
        <v/>
      </c>
      <c r="M14" s="70">
        <f>IF(AND($E14&lt;&gt;"",$F14&lt;&gt;"",7&gt;=$E14,7&lt;=$F14),$D14/MAX(1,$F14-$E14+1),"")</f>
        <v/>
      </c>
      <c r="N14" s="70">
        <f>IF(AND($E14&lt;&gt;"",$F14&lt;&gt;"",8&gt;=$E14,8&lt;=$F14),$D14/MAX(1,$F14-$E14+1),"")</f>
        <v/>
      </c>
      <c r="O14" s="70">
        <f>IF(AND($E14&lt;&gt;"",$F14&lt;&gt;"",9&gt;=$E14,9&lt;=$F14),$D14/MAX(1,$F14-$E14+1),"")</f>
        <v/>
      </c>
      <c r="P14" s="70">
        <f>IF(AND($E14&lt;&gt;"",$F14&lt;&gt;"",10&gt;=$E14,10&lt;=$F14),$D14/MAX(1,$F14-$E14+1),"")</f>
        <v/>
      </c>
      <c r="Q14" s="70">
        <f>IF(AND($E14&lt;&gt;"",$F14&lt;&gt;"",11&gt;=$E14,11&lt;=$F14),$D14/MAX(1,$F14-$E14+1),"")</f>
        <v/>
      </c>
      <c r="R14" s="70">
        <f>IF(AND($E14&lt;&gt;"",$F14&lt;&gt;"",12&gt;=$E14,12&lt;=$F14),$D14/MAX(1,$F14-$E14+1),"")</f>
        <v/>
      </c>
      <c r="S14" s="70">
        <f>IF(AND($E14&lt;&gt;"",$F14&lt;&gt;"",13&gt;=$E14,13&lt;=$F14),$D14/MAX(1,$F14-$E14+1),"")</f>
        <v/>
      </c>
      <c r="T14" s="70">
        <f>IF(AND($E14&lt;&gt;"",$F14&lt;&gt;"",14&gt;=$E14,14&lt;=$F14),$D14/MAX(1,$F14-$E14+1),"")</f>
        <v/>
      </c>
      <c r="U14" s="70">
        <f>IF(AND($E14&lt;&gt;"",$F14&lt;&gt;"",15&gt;=$E14,15&lt;=$F14),$D14/MAX(1,$F14-$E14+1),"")</f>
        <v/>
      </c>
      <c r="V14" s="70">
        <f>IF(AND($E14&lt;&gt;"",$F14&lt;&gt;"",16&gt;=$E14,16&lt;=$F14),$D14/MAX(1,$F14-$E14+1),"")</f>
        <v/>
      </c>
      <c r="W14" s="70">
        <f>IF(AND($E14&lt;&gt;"",$F14&lt;&gt;"",17&gt;=$E14,17&lt;=$F14),$D14/MAX(1,$F14-$E14+1),"")</f>
        <v/>
      </c>
      <c r="X14" s="70">
        <f>IF(AND($E14&lt;&gt;"",$F14&lt;&gt;"",18&gt;=$E14,18&lt;=$F14),$D14/MAX(1,$F14-$E14+1),"")</f>
        <v/>
      </c>
    </row>
    <row r="15">
      <c r="A15" s="18" t="inlineStr">
        <is>
          <t>hvac</t>
        </is>
      </c>
      <c r="B15" s="17" t="n">
        <v>3</v>
      </c>
      <c r="C15" s="71" t="n">
        <v>0.3333333333333333</v>
      </c>
      <c r="D15" s="68" t="n">
        <v>0.0036</v>
      </c>
      <c r="E15" s="69" t="n"/>
      <c r="F15" s="69" t="n"/>
      <c r="G15" s="70">
        <f>IF(AND($E15&lt;&gt;"",$F15&lt;&gt;"",1&gt;=$E15,1&lt;=$F15),$D15/MAX(1,$F15-$E15+1),"")</f>
        <v/>
      </c>
      <c r="H15" s="70">
        <f>IF(AND($E15&lt;&gt;"",$F15&lt;&gt;"",2&gt;=$E15,2&lt;=$F15),$D15/MAX(1,$F15-$E15+1),"")</f>
        <v/>
      </c>
      <c r="I15" s="70">
        <f>IF(AND($E15&lt;&gt;"",$F15&lt;&gt;"",3&gt;=$E15,3&lt;=$F15),$D15/MAX(1,$F15-$E15+1),"")</f>
        <v/>
      </c>
      <c r="J15" s="70">
        <f>IF(AND($E15&lt;&gt;"",$F15&lt;&gt;"",4&gt;=$E15,4&lt;=$F15),$D15/MAX(1,$F15-$E15+1),"")</f>
        <v/>
      </c>
      <c r="K15" s="70">
        <f>IF(AND($E15&lt;&gt;"",$F15&lt;&gt;"",5&gt;=$E15,5&lt;=$F15),$D15/MAX(1,$F15-$E15+1),"")</f>
        <v/>
      </c>
      <c r="L15" s="70">
        <f>IF(AND($E15&lt;&gt;"",$F15&lt;&gt;"",6&gt;=$E15,6&lt;=$F15),$D15/MAX(1,$F15-$E15+1),"")</f>
        <v/>
      </c>
      <c r="M15" s="70">
        <f>IF(AND($E15&lt;&gt;"",$F15&lt;&gt;"",7&gt;=$E15,7&lt;=$F15),$D15/MAX(1,$F15-$E15+1),"")</f>
        <v/>
      </c>
      <c r="N15" s="70">
        <f>IF(AND($E15&lt;&gt;"",$F15&lt;&gt;"",8&gt;=$E15,8&lt;=$F15),$D15/MAX(1,$F15-$E15+1),"")</f>
        <v/>
      </c>
      <c r="O15" s="70">
        <f>IF(AND($E15&lt;&gt;"",$F15&lt;&gt;"",9&gt;=$E15,9&lt;=$F15),$D15/MAX(1,$F15-$E15+1),"")</f>
        <v/>
      </c>
      <c r="P15" s="70">
        <f>IF(AND($E15&lt;&gt;"",$F15&lt;&gt;"",10&gt;=$E15,10&lt;=$F15),$D15/MAX(1,$F15-$E15+1),"")</f>
        <v/>
      </c>
      <c r="Q15" s="70">
        <f>IF(AND($E15&lt;&gt;"",$F15&lt;&gt;"",11&gt;=$E15,11&lt;=$F15),$D15/MAX(1,$F15-$E15+1),"")</f>
        <v/>
      </c>
      <c r="R15" s="70">
        <f>IF(AND($E15&lt;&gt;"",$F15&lt;&gt;"",12&gt;=$E15,12&lt;=$F15),$D15/MAX(1,$F15-$E15+1),"")</f>
        <v/>
      </c>
      <c r="S15" s="70">
        <f>IF(AND($E15&lt;&gt;"",$F15&lt;&gt;"",13&gt;=$E15,13&lt;=$F15),$D15/MAX(1,$F15-$E15+1),"")</f>
        <v/>
      </c>
      <c r="T15" s="70">
        <f>IF(AND($E15&lt;&gt;"",$F15&lt;&gt;"",14&gt;=$E15,14&lt;=$F15),$D15/MAX(1,$F15-$E15+1),"")</f>
        <v/>
      </c>
      <c r="U15" s="70">
        <f>IF(AND($E15&lt;&gt;"",$F15&lt;&gt;"",15&gt;=$E15,15&lt;=$F15),$D15/MAX(1,$F15-$E15+1),"")</f>
        <v/>
      </c>
      <c r="V15" s="70">
        <f>IF(AND($E15&lt;&gt;"",$F15&lt;&gt;"",16&gt;=$E15,16&lt;=$F15),$D15/MAX(1,$F15-$E15+1),"")</f>
        <v/>
      </c>
      <c r="W15" s="70">
        <f>IF(AND($E15&lt;&gt;"",$F15&lt;&gt;"",17&gt;=$E15,17&lt;=$F15),$D15/MAX(1,$F15-$E15+1),"")</f>
        <v/>
      </c>
      <c r="X15" s="70">
        <f>IF(AND($E15&lt;&gt;"",$F15&lt;&gt;"",18&gt;=$E15,18&lt;=$F15),$D15/MAX(1,$F15-$E15+1),"")</f>
        <v/>
      </c>
    </row>
    <row r="16">
      <c r="A16" s="18" t="inlineStr">
        <is>
          <t>electrical</t>
        </is>
      </c>
      <c r="B16" s="17" t="n">
        <v>7</v>
      </c>
      <c r="C16" s="71" t="n">
        <v>0.8571428571428571</v>
      </c>
      <c r="D16" s="68" t="n">
        <v>0.1474</v>
      </c>
      <c r="E16" s="69" t="n"/>
      <c r="F16" s="69" t="n"/>
      <c r="G16" s="70">
        <f>IF(AND($E16&lt;&gt;"",$F16&lt;&gt;"",1&gt;=$E16,1&lt;=$F16),$D16/MAX(1,$F16-$E16+1),"")</f>
        <v/>
      </c>
      <c r="H16" s="70">
        <f>IF(AND($E16&lt;&gt;"",$F16&lt;&gt;"",2&gt;=$E16,2&lt;=$F16),$D16/MAX(1,$F16-$E16+1),"")</f>
        <v/>
      </c>
      <c r="I16" s="70">
        <f>IF(AND($E16&lt;&gt;"",$F16&lt;&gt;"",3&gt;=$E16,3&lt;=$F16),$D16/MAX(1,$F16-$E16+1),"")</f>
        <v/>
      </c>
      <c r="J16" s="70">
        <f>IF(AND($E16&lt;&gt;"",$F16&lt;&gt;"",4&gt;=$E16,4&lt;=$F16),$D16/MAX(1,$F16-$E16+1),"")</f>
        <v/>
      </c>
      <c r="K16" s="70">
        <f>IF(AND($E16&lt;&gt;"",$F16&lt;&gt;"",5&gt;=$E16,5&lt;=$F16),$D16/MAX(1,$F16-$E16+1),"")</f>
        <v/>
      </c>
      <c r="L16" s="70">
        <f>IF(AND($E16&lt;&gt;"",$F16&lt;&gt;"",6&gt;=$E16,6&lt;=$F16),$D16/MAX(1,$F16-$E16+1),"")</f>
        <v/>
      </c>
      <c r="M16" s="70">
        <f>IF(AND($E16&lt;&gt;"",$F16&lt;&gt;"",7&gt;=$E16,7&lt;=$F16),$D16/MAX(1,$F16-$E16+1),"")</f>
        <v/>
      </c>
      <c r="N16" s="70">
        <f>IF(AND($E16&lt;&gt;"",$F16&lt;&gt;"",8&gt;=$E16,8&lt;=$F16),$D16/MAX(1,$F16-$E16+1),"")</f>
        <v/>
      </c>
      <c r="O16" s="70">
        <f>IF(AND($E16&lt;&gt;"",$F16&lt;&gt;"",9&gt;=$E16,9&lt;=$F16),$D16/MAX(1,$F16-$E16+1),"")</f>
        <v/>
      </c>
      <c r="P16" s="70">
        <f>IF(AND($E16&lt;&gt;"",$F16&lt;&gt;"",10&gt;=$E16,10&lt;=$F16),$D16/MAX(1,$F16-$E16+1),"")</f>
        <v/>
      </c>
      <c r="Q16" s="70">
        <f>IF(AND($E16&lt;&gt;"",$F16&lt;&gt;"",11&gt;=$E16,11&lt;=$F16),$D16/MAX(1,$F16-$E16+1),"")</f>
        <v/>
      </c>
      <c r="R16" s="70">
        <f>IF(AND($E16&lt;&gt;"",$F16&lt;&gt;"",12&gt;=$E16,12&lt;=$F16),$D16/MAX(1,$F16-$E16+1),"")</f>
        <v/>
      </c>
      <c r="S16" s="70">
        <f>IF(AND($E16&lt;&gt;"",$F16&lt;&gt;"",13&gt;=$E16,13&lt;=$F16),$D16/MAX(1,$F16-$E16+1),"")</f>
        <v/>
      </c>
      <c r="T16" s="70">
        <f>IF(AND($E16&lt;&gt;"",$F16&lt;&gt;"",14&gt;=$E16,14&lt;=$F16),$D16/MAX(1,$F16-$E16+1),"")</f>
        <v/>
      </c>
      <c r="U16" s="70">
        <f>IF(AND($E16&lt;&gt;"",$F16&lt;&gt;"",15&gt;=$E16,15&lt;=$F16),$D16/MAX(1,$F16-$E16+1),"")</f>
        <v/>
      </c>
      <c r="V16" s="70">
        <f>IF(AND($E16&lt;&gt;"",$F16&lt;&gt;"",16&gt;=$E16,16&lt;=$F16),$D16/MAX(1,$F16-$E16+1),"")</f>
        <v/>
      </c>
      <c r="W16" s="70">
        <f>IF(AND($E16&lt;&gt;"",$F16&lt;&gt;"",17&gt;=$E16,17&lt;=$F16),$D16/MAX(1,$F16-$E16+1),"")</f>
        <v/>
      </c>
      <c r="X16" s="70">
        <f>IF(AND($E16&lt;&gt;"",$F16&lt;&gt;"",18&gt;=$E16,18&lt;=$F16),$D16/MAX(1,$F16-$E16+1),"")</f>
        <v/>
      </c>
    </row>
    <row r="17">
      <c r="A17" s="18" t="inlineStr">
        <is>
          <t>external</t>
        </is>
      </c>
      <c r="B17" s="17" t="n">
        <v>6</v>
      </c>
      <c r="C17" s="67" t="n">
        <v>0</v>
      </c>
      <c r="D17" s="68" t="n">
        <v>0</v>
      </c>
      <c r="E17" s="69" t="n"/>
      <c r="F17" s="69" t="n"/>
      <c r="G17" s="70">
        <f>IF(AND($E17&lt;&gt;"",$F17&lt;&gt;"",1&gt;=$E17,1&lt;=$F17),$D17/MAX(1,$F17-$E17+1),"")</f>
        <v/>
      </c>
      <c r="H17" s="70">
        <f>IF(AND($E17&lt;&gt;"",$F17&lt;&gt;"",2&gt;=$E17,2&lt;=$F17),$D17/MAX(1,$F17-$E17+1),"")</f>
        <v/>
      </c>
      <c r="I17" s="70">
        <f>IF(AND($E17&lt;&gt;"",$F17&lt;&gt;"",3&gt;=$E17,3&lt;=$F17),$D17/MAX(1,$F17-$E17+1),"")</f>
        <v/>
      </c>
      <c r="J17" s="70">
        <f>IF(AND($E17&lt;&gt;"",$F17&lt;&gt;"",4&gt;=$E17,4&lt;=$F17),$D17/MAX(1,$F17-$E17+1),"")</f>
        <v/>
      </c>
      <c r="K17" s="70">
        <f>IF(AND($E17&lt;&gt;"",$F17&lt;&gt;"",5&gt;=$E17,5&lt;=$F17),$D17/MAX(1,$F17-$E17+1),"")</f>
        <v/>
      </c>
      <c r="L17" s="70">
        <f>IF(AND($E17&lt;&gt;"",$F17&lt;&gt;"",6&gt;=$E17,6&lt;=$F17),$D17/MAX(1,$F17-$E17+1),"")</f>
        <v/>
      </c>
      <c r="M17" s="70">
        <f>IF(AND($E17&lt;&gt;"",$F17&lt;&gt;"",7&gt;=$E17,7&lt;=$F17),$D17/MAX(1,$F17-$E17+1),"")</f>
        <v/>
      </c>
      <c r="N17" s="70">
        <f>IF(AND($E17&lt;&gt;"",$F17&lt;&gt;"",8&gt;=$E17,8&lt;=$F17),$D17/MAX(1,$F17-$E17+1),"")</f>
        <v/>
      </c>
      <c r="O17" s="70">
        <f>IF(AND($E17&lt;&gt;"",$F17&lt;&gt;"",9&gt;=$E17,9&lt;=$F17),$D17/MAX(1,$F17-$E17+1),"")</f>
        <v/>
      </c>
      <c r="P17" s="70">
        <f>IF(AND($E17&lt;&gt;"",$F17&lt;&gt;"",10&gt;=$E17,10&lt;=$F17),$D17/MAX(1,$F17-$E17+1),"")</f>
        <v/>
      </c>
      <c r="Q17" s="70">
        <f>IF(AND($E17&lt;&gt;"",$F17&lt;&gt;"",11&gt;=$E17,11&lt;=$F17),$D17/MAX(1,$F17-$E17+1),"")</f>
        <v/>
      </c>
      <c r="R17" s="70">
        <f>IF(AND($E17&lt;&gt;"",$F17&lt;&gt;"",12&gt;=$E17,12&lt;=$F17),$D17/MAX(1,$F17-$E17+1),"")</f>
        <v/>
      </c>
      <c r="S17" s="70">
        <f>IF(AND($E17&lt;&gt;"",$F17&lt;&gt;"",13&gt;=$E17,13&lt;=$F17),$D17/MAX(1,$F17-$E17+1),"")</f>
        <v/>
      </c>
      <c r="T17" s="70">
        <f>IF(AND($E17&lt;&gt;"",$F17&lt;&gt;"",14&gt;=$E17,14&lt;=$F17),$D17/MAX(1,$F17-$E17+1),"")</f>
        <v/>
      </c>
      <c r="U17" s="70">
        <f>IF(AND($E17&lt;&gt;"",$F17&lt;&gt;"",15&gt;=$E17,15&lt;=$F17),$D17/MAX(1,$F17-$E17+1),"")</f>
        <v/>
      </c>
      <c r="V17" s="70">
        <f>IF(AND($E17&lt;&gt;"",$F17&lt;&gt;"",16&gt;=$E17,16&lt;=$F17),$D17/MAX(1,$F17-$E17+1),"")</f>
        <v/>
      </c>
      <c r="W17" s="70">
        <f>IF(AND($E17&lt;&gt;"",$F17&lt;&gt;"",17&gt;=$E17,17&lt;=$F17),$D17/MAX(1,$F17-$E17+1),"")</f>
        <v/>
      </c>
      <c r="X17" s="70">
        <f>IF(AND($E17&lt;&gt;"",$F17&lt;&gt;"",18&gt;=$E17,18&lt;=$F17),$D17/MAX(1,$F17-$E17+1),"")</f>
        <v/>
      </c>
    </row>
    <row r="18">
      <c r="A18" s="18" t="inlineStr">
        <is>
          <t>preliminaries</t>
        </is>
      </c>
      <c r="B18" s="17" t="n">
        <v>1</v>
      </c>
      <c r="C18" s="67" t="n">
        <v>0</v>
      </c>
      <c r="D18" s="68" t="n">
        <v>0</v>
      </c>
      <c r="E18" s="69" t="n"/>
      <c r="F18" s="69" t="n"/>
      <c r="G18" s="70">
        <f>IF(AND($E18&lt;&gt;"",$F18&lt;&gt;"",1&gt;=$E18,1&lt;=$F18),$D18/MAX(1,$F18-$E18+1),"")</f>
        <v/>
      </c>
      <c r="H18" s="70">
        <f>IF(AND($E18&lt;&gt;"",$F18&lt;&gt;"",2&gt;=$E18,2&lt;=$F18),$D18/MAX(1,$F18-$E18+1),"")</f>
        <v/>
      </c>
      <c r="I18" s="70">
        <f>IF(AND($E18&lt;&gt;"",$F18&lt;&gt;"",3&gt;=$E18,3&lt;=$F18),$D18/MAX(1,$F18-$E18+1),"")</f>
        <v/>
      </c>
      <c r="J18" s="70">
        <f>IF(AND($E18&lt;&gt;"",$F18&lt;&gt;"",4&gt;=$E18,4&lt;=$F18),$D18/MAX(1,$F18-$E18+1),"")</f>
        <v/>
      </c>
      <c r="K18" s="70">
        <f>IF(AND($E18&lt;&gt;"",$F18&lt;&gt;"",5&gt;=$E18,5&lt;=$F18),$D18/MAX(1,$F18-$E18+1),"")</f>
        <v/>
      </c>
      <c r="L18" s="70">
        <f>IF(AND($E18&lt;&gt;"",$F18&lt;&gt;"",6&gt;=$E18,6&lt;=$F18),$D18/MAX(1,$F18-$E18+1),"")</f>
        <v/>
      </c>
      <c r="M18" s="70">
        <f>IF(AND($E18&lt;&gt;"",$F18&lt;&gt;"",7&gt;=$E18,7&lt;=$F18),$D18/MAX(1,$F18-$E18+1),"")</f>
        <v/>
      </c>
      <c r="N18" s="70">
        <f>IF(AND($E18&lt;&gt;"",$F18&lt;&gt;"",8&gt;=$E18,8&lt;=$F18),$D18/MAX(1,$F18-$E18+1),"")</f>
        <v/>
      </c>
      <c r="O18" s="70">
        <f>IF(AND($E18&lt;&gt;"",$F18&lt;&gt;"",9&gt;=$E18,9&lt;=$F18),$D18/MAX(1,$F18-$E18+1),"")</f>
        <v/>
      </c>
      <c r="P18" s="70">
        <f>IF(AND($E18&lt;&gt;"",$F18&lt;&gt;"",10&gt;=$E18,10&lt;=$F18),$D18/MAX(1,$F18-$E18+1),"")</f>
        <v/>
      </c>
      <c r="Q18" s="70">
        <f>IF(AND($E18&lt;&gt;"",$F18&lt;&gt;"",11&gt;=$E18,11&lt;=$F18),$D18/MAX(1,$F18-$E18+1),"")</f>
        <v/>
      </c>
      <c r="R18" s="70">
        <f>IF(AND($E18&lt;&gt;"",$F18&lt;&gt;"",12&gt;=$E18,12&lt;=$F18),$D18/MAX(1,$F18-$E18+1),"")</f>
        <v/>
      </c>
      <c r="S18" s="70">
        <f>IF(AND($E18&lt;&gt;"",$F18&lt;&gt;"",13&gt;=$E18,13&lt;=$F18),$D18/MAX(1,$F18-$E18+1),"")</f>
        <v/>
      </c>
      <c r="T18" s="70">
        <f>IF(AND($E18&lt;&gt;"",$F18&lt;&gt;"",14&gt;=$E18,14&lt;=$F18),$D18/MAX(1,$F18-$E18+1),"")</f>
        <v/>
      </c>
      <c r="U18" s="70">
        <f>IF(AND($E18&lt;&gt;"",$F18&lt;&gt;"",15&gt;=$E18,15&lt;=$F18),$D18/MAX(1,$F18-$E18+1),"")</f>
        <v/>
      </c>
      <c r="V18" s="70">
        <f>IF(AND($E18&lt;&gt;"",$F18&lt;&gt;"",16&gt;=$E18,16&lt;=$F18),$D18/MAX(1,$F18-$E18+1),"")</f>
        <v/>
      </c>
      <c r="W18" s="70">
        <f>IF(AND($E18&lt;&gt;"",$F18&lt;&gt;"",17&gt;=$E18,17&lt;=$F18),$D18/MAX(1,$F18-$E18+1),"")</f>
        <v/>
      </c>
      <c r="X18" s="70">
        <f>IF(AND($E18&lt;&gt;"",$F18&lt;&gt;"",18&gt;=$E18,18&lt;=$F18),$D18/MAX(1,$F18-$E18+1),"")</f>
        <v/>
      </c>
    </row>
    <row r="19">
      <c r="A19" s="25" t="inlineStr">
        <is>
          <t>TOTAL</t>
        </is>
      </c>
      <c r="D19" s="72">
        <f>SUM(D11:D18)</f>
        <v/>
      </c>
    </row>
    <row r="20"/>
    <row r="21">
      <c r="A21" s="3" t="inlineStr">
        <is>
          <t>% of work this month</t>
        </is>
      </c>
      <c r="G21" s="73">
        <f>SUM(G11:G18)</f>
        <v/>
      </c>
      <c r="H21" s="73">
        <f>SUM(H11:H18)</f>
        <v/>
      </c>
      <c r="I21" s="73">
        <f>SUM(I11:I18)</f>
        <v/>
      </c>
      <c r="J21" s="73">
        <f>SUM(J11:J18)</f>
        <v/>
      </c>
      <c r="K21" s="73">
        <f>SUM(K11:K18)</f>
        <v/>
      </c>
      <c r="L21" s="73">
        <f>SUM(L11:L18)</f>
        <v/>
      </c>
      <c r="M21" s="73">
        <f>SUM(M11:M18)</f>
        <v/>
      </c>
      <c r="N21" s="73">
        <f>SUM(N11:N18)</f>
        <v/>
      </c>
      <c r="O21" s="73">
        <f>SUM(O11:O18)</f>
        <v/>
      </c>
      <c r="P21" s="73">
        <f>SUM(P11:P18)</f>
        <v/>
      </c>
      <c r="Q21" s="73">
        <f>SUM(Q11:Q18)</f>
        <v/>
      </c>
      <c r="R21" s="73">
        <f>SUM(R11:R18)</f>
        <v/>
      </c>
      <c r="S21" s="73">
        <f>SUM(S11:S18)</f>
        <v/>
      </c>
      <c r="T21" s="73">
        <f>SUM(T11:T18)</f>
        <v/>
      </c>
      <c r="U21" s="73">
        <f>SUM(U11:U18)</f>
        <v/>
      </c>
      <c r="V21" s="73">
        <f>SUM(V11:V18)</f>
        <v/>
      </c>
      <c r="W21" s="73">
        <f>SUM(W11:W18)</f>
        <v/>
      </c>
      <c r="X21" s="73">
        <f>SUM(X11:X18)</f>
        <v/>
      </c>
    </row>
    <row r="22">
      <c r="A22" s="3" t="inlineStr">
        <is>
          <t>Cumulative % complete (S-curve)</t>
        </is>
      </c>
      <c r="G22" s="74">
        <f>IF(SUM($G21:$X21)=0,"",SUM($G21:G21))</f>
        <v/>
      </c>
      <c r="H22" s="74">
        <f>IF(SUM($G21:$X21)=0,"",SUM($G21:H21))</f>
        <v/>
      </c>
      <c r="I22" s="74">
        <f>IF(SUM($G21:$X21)=0,"",SUM($G21:I21))</f>
        <v/>
      </c>
      <c r="J22" s="74">
        <f>IF(SUM($G21:$X21)=0,"",SUM($G21:J21))</f>
        <v/>
      </c>
      <c r="K22" s="74">
        <f>IF(SUM($G21:$X21)=0,"",SUM($G21:K21))</f>
        <v/>
      </c>
      <c r="L22" s="74">
        <f>IF(SUM($G21:$X21)=0,"",SUM($G21:L21))</f>
        <v/>
      </c>
      <c r="M22" s="74">
        <f>IF(SUM($G21:$X21)=0,"",SUM($G21:M21))</f>
        <v/>
      </c>
      <c r="N22" s="74">
        <f>IF(SUM($G21:$X21)=0,"",SUM($G21:N21))</f>
        <v/>
      </c>
      <c r="O22" s="74">
        <f>IF(SUM($G21:$X21)=0,"",SUM($G21:O21))</f>
        <v/>
      </c>
      <c r="P22" s="74">
        <f>IF(SUM($G21:$X21)=0,"",SUM($G21:P21))</f>
        <v/>
      </c>
      <c r="Q22" s="74">
        <f>IF(SUM($G21:$X21)=0,"",SUM($G21:Q21))</f>
        <v/>
      </c>
      <c r="R22" s="74">
        <f>IF(SUM($G21:$X21)=0,"",SUM($G21:R21))</f>
        <v/>
      </c>
      <c r="S22" s="74">
        <f>IF(SUM($G21:$X21)=0,"",SUM($G21:S21))</f>
        <v/>
      </c>
      <c r="T22" s="74">
        <f>IF(SUM($G21:$X21)=0,"",SUM($G21:T21))</f>
        <v/>
      </c>
      <c r="U22" s="74">
        <f>IF(SUM($G21:$X21)=0,"",SUM($G21:U21))</f>
        <v/>
      </c>
      <c r="V22" s="74">
        <f>IF(SUM($G21:$X21)=0,"",SUM($G21:V21))</f>
        <v/>
      </c>
      <c r="W22" s="74">
        <f>IF(SUM($G21:$X21)=0,"",SUM($G21:W21))</f>
        <v/>
      </c>
      <c r="X22" s="74">
        <f>IF(SUM($G21:$X21)=0,"",SUM($G21:X21))</f>
        <v/>
      </c>
    </row>
    <row r="23"/>
    <row r="24"/>
    <row r="25"/>
    <row r="26"/>
    <row r="27"/>
    <row r="28"/>
    <row r="29"/>
    <row r="30"/>
    <row r="31"/>
    <row r="32"/>
    <row r="33"/>
    <row r="34"/>
    <row r="35"/>
    <row r="36"/>
    <row r="37"/>
    <row r="38"/>
    <row r="39"/>
    <row r="40"/>
    <row r="41"/>
    <row r="42"/>
    <row r="43"/>
    <row r="44">
      <c r="A44" s="75" t="inlineStr">
        <is>
          <t>HOW THE PERCENTAGES WERE DERIVED — check them, do not trust them:  each package's share is its measured quantities priced at our indicative rates, as a proportion of the whole. Column C tells you how much of that package actually carries a rate. Where coverage is low the share is built on a minority of the lines, and the lines that carry rates tend to be the larger, more standard ones — so a low-coverage package is usually UNDERSTATED here.  COLUMN D IS YELLOW ON PURPOSE. It is our starting figure, not a finding. Overtype any row you disagree with — the bars, the monthly percentages and the curve all follow, and the TOTAL cell shows whether your figures still add to 100%.  The bars spread each package evenly across the months you nominate; the S shape comes from packages starting and finishing at different times, not from an assumed build-up rate inside a package — that would be inventing a rate we cannot know.  CHECK THESE FIRST — priced on less than a third of their lines, or not at all: structural, architectural, external, preliminaries. Their share is the least reliable number on this sheet. Put your own percentage in column D for each before you plan against this curve.</t>
        </is>
      </c>
    </row>
    <row r="45"/>
    <row r="46"/>
    <row r="47"/>
    <row r="48"/>
    <row r="49"/>
  </sheetData>
  <sheetProtection selectLockedCells="1" selectUnlockedCells="1" sheet="1" objects="0" insertRows="1" insertHyperlinks="1" autoFilter="1" scenarios="0" formatColumns="1" deleteColumns="1" insertColumns="1" pivotTables="1" deleteRows="1" formatCells="1" formatRows="1" sort="1"/>
  <mergeCells count="2">
    <mergeCell ref="A3:H8"/>
    <mergeCell ref="A44:H49"/>
  </mergeCells>
  <conditionalFormatting sqref="G11:X18">
    <cfRule type="expression" priority="1" dxfId="2">
      <formula>AND($E11&lt;&gt;"",$F11&lt;&gt;"",COLUMN()-COLUMN($G$11)+1&gt;=$E11,COLUMN()-COLUMN($G$11)+1&lt;=$F11)</formula>
    </cfRule>
  </conditionalFormatting>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drawing xmlns:r="http://schemas.openxmlformats.org/officeDocument/2006/relationships" r:id="rId1"/>
</worksheet>
</file>

<file path=xl/worksheets/sheet32.xml><?xml version="1.0" encoding="utf-8"?>
<worksheet xmlns="http://schemas.openxmlformats.org/spreadsheetml/2006/main">
  <sheetPr>
    <outlinePr summaryBelow="1" summaryRight="1"/>
    <pageSetUpPr fitToPage="1"/>
  </sheetPr>
  <dimension ref="A1:F36"/>
  <sheetViews>
    <sheetView workbookViewId="0">
      <selection activeCell="A1" sqref="A1"/>
    </sheetView>
  </sheetViews>
  <sheetFormatPr baseColWidth="8" defaultRowHeight="15"/>
  <cols>
    <col width="22" customWidth="1" min="1" max="1"/>
    <col width="14" customWidth="1" min="2" max="2"/>
    <col width="11" customWidth="1" min="3" max="3"/>
    <col width="11" customWidth="1" min="4" max="4"/>
    <col width="11" customWidth="1" min="5" max="5"/>
    <col width="40" customWidth="1" min="6" max="6"/>
  </cols>
  <sheetData>
    <row r="1">
      <c r="A1" s="20" t="inlineStr">
        <is>
          <t>Your Pricing Checklist — what you still need to fill in</t>
        </is>
      </c>
    </row>
    <row r="2"/>
    <row r="3">
      <c r="A3" s="76" t="inlineStr">
        <is>
          <t>This workbook contains 52 pricing points — one for every line item.  We have put an indicative guideline rate against 24 of them (46%).  The other 28 (54%) are YELLOW AND EMPTY and are waiting for your own costs.  A blank cell is not a zero and not an exclusion — the work is in the take-off, we simply could not find a defensible public rate for it.</t>
        </is>
      </c>
    </row>
    <row r="4"/>
    <row r="5"/>
    <row r="6"/>
    <row r="7"/>
    <row r="8">
      <c r="A8" s="16" t="inlineStr">
        <is>
          <t>Trade</t>
        </is>
      </c>
      <c r="B8" s="16" t="inlineStr">
        <is>
          <t>Pricing points</t>
        </is>
      </c>
      <c r="C8" s="16" t="inlineStr">
        <is>
          <t>We filled</t>
        </is>
      </c>
      <c r="D8" s="16" t="inlineStr">
        <is>
          <t>YOU fill</t>
        </is>
      </c>
      <c r="E8" s="16" t="inlineStr">
        <is>
          <t>% you fill</t>
        </is>
      </c>
      <c r="F8" s="16" t="inlineStr">
        <is>
          <t>Value priced so far (USD) — a floor, not a total</t>
        </is>
      </c>
    </row>
    <row r="9">
      <c r="A9" s="18" t="inlineStr">
        <is>
          <t>Structural</t>
        </is>
      </c>
      <c r="B9" s="17" t="n">
        <v>5</v>
      </c>
      <c r="C9" s="17" t="n">
        <v>1</v>
      </c>
      <c r="D9" s="17" t="n">
        <v>4</v>
      </c>
      <c r="E9" s="71" t="n">
        <v>0.8</v>
      </c>
      <c r="F9" s="18" t="inlineStr">
        <is>
          <t>see Takeoff-structural</t>
        </is>
      </c>
    </row>
    <row r="10">
      <c r="A10" s="18" t="inlineStr">
        <is>
          <t>Architectural</t>
        </is>
      </c>
      <c r="B10" s="17" t="n">
        <v>14</v>
      </c>
      <c r="C10" s="17" t="n">
        <v>4</v>
      </c>
      <c r="D10" s="17" t="n">
        <v>10</v>
      </c>
      <c r="E10" s="71" t="n">
        <v>0.7142857142857143</v>
      </c>
      <c r="F10" s="18" t="inlineStr">
        <is>
          <t>see Takeoff-architectural</t>
        </is>
      </c>
    </row>
    <row r="11">
      <c r="A11" s="18" t="inlineStr">
        <is>
          <t>Interior</t>
        </is>
      </c>
      <c r="B11" s="17" t="n">
        <v>11</v>
      </c>
      <c r="C11" s="17" t="n">
        <v>8</v>
      </c>
      <c r="D11" s="17" t="n">
        <v>3</v>
      </c>
      <c r="E11" s="71" t="n">
        <v>0.2727272727272727</v>
      </c>
      <c r="F11" s="18" t="inlineStr">
        <is>
          <t>see Takeoff-interior</t>
        </is>
      </c>
    </row>
    <row r="12">
      <c r="A12" s="18" t="inlineStr">
        <is>
          <t>Plumbing</t>
        </is>
      </c>
      <c r="B12" s="17" t="n">
        <v>5</v>
      </c>
      <c r="C12" s="17" t="n">
        <v>4</v>
      </c>
      <c r="D12" s="17" t="n">
        <v>1</v>
      </c>
      <c r="E12" s="71" t="n">
        <v>0.2</v>
      </c>
      <c r="F12" s="18" t="inlineStr">
        <is>
          <t>see Takeoff-plumbing</t>
        </is>
      </c>
    </row>
    <row r="13">
      <c r="A13" s="18" t="inlineStr">
        <is>
          <t>HVAC</t>
        </is>
      </c>
      <c r="B13" s="17" t="n">
        <v>3</v>
      </c>
      <c r="C13" s="17" t="n">
        <v>1</v>
      </c>
      <c r="D13" s="17" t="n">
        <v>2</v>
      </c>
      <c r="E13" s="71" t="n">
        <v>0.6666666666666666</v>
      </c>
      <c r="F13" s="18" t="inlineStr">
        <is>
          <t>see Takeoff-hvac</t>
        </is>
      </c>
    </row>
    <row r="14">
      <c r="A14" s="18" t="inlineStr">
        <is>
          <t>Electrical</t>
        </is>
      </c>
      <c r="B14" s="17" t="n">
        <v>7</v>
      </c>
      <c r="C14" s="17" t="n">
        <v>6</v>
      </c>
      <c r="D14" s="17" t="n">
        <v>1</v>
      </c>
      <c r="E14" s="71" t="n">
        <v>0.1428571428571428</v>
      </c>
      <c r="F14" s="18" t="inlineStr">
        <is>
          <t>see Takeoff-electrical</t>
        </is>
      </c>
    </row>
    <row r="15">
      <c r="A15" s="18" t="inlineStr">
        <is>
          <t>External</t>
        </is>
      </c>
      <c r="B15" s="17" t="n">
        <v>6</v>
      </c>
      <c r="C15" s="17" t="n">
        <v>0</v>
      </c>
      <c r="D15" s="77" t="n">
        <v>6</v>
      </c>
      <c r="E15" s="71" t="n">
        <v>1</v>
      </c>
      <c r="F15" s="18" t="inlineStr">
        <is>
          <t>see Takeoff-external</t>
        </is>
      </c>
    </row>
    <row r="16">
      <c r="A16" s="18" t="inlineStr">
        <is>
          <t>Preliminaries</t>
        </is>
      </c>
      <c r="B16" s="17" t="n">
        <v>1</v>
      </c>
      <c r="C16" s="17" t="n">
        <v>0</v>
      </c>
      <c r="D16" s="77" t="n">
        <v>1</v>
      </c>
      <c r="E16" s="71" t="n">
        <v>1</v>
      </c>
      <c r="F16" s="18" t="inlineStr">
        <is>
          <t>see Takeoff-preliminaries</t>
        </is>
      </c>
    </row>
    <row r="17">
      <c r="A17" s="25" t="inlineStr">
        <is>
          <t>TOTAL</t>
        </is>
      </c>
      <c r="B17" s="78" t="n">
        <v>52</v>
      </c>
      <c r="C17" s="78" t="n">
        <v>24</v>
      </c>
      <c r="D17" s="78" t="n">
        <v>28</v>
      </c>
      <c r="E17" s="79" t="n">
        <v>0.5384615384615384</v>
      </c>
    </row>
    <row r="18"/>
    <row r="19"/>
    <row r="20">
      <c r="A20" s="10" t="inlineStr">
        <is>
          <t>How to work through this</t>
        </is>
      </c>
    </row>
    <row r="21">
      <c r="A21" s="7" t="inlineStr">
        <is>
          <t>1.  Open each Takeoff-&lt;trade&gt; sheet and sort by the cost column. Every empty yellow cell is a decision you still have to make.</t>
        </is>
      </c>
    </row>
    <row r="22"/>
    <row r="23"/>
    <row r="24">
      <c r="A24" s="7" t="inlineStr">
        <is>
          <t>2.  Start with the trades above that show a high '% you fill' — that is where this workbook is least complete.</t>
        </is>
      </c>
    </row>
    <row r="25"/>
    <row r="26"/>
    <row r="27">
      <c r="A27" s="7" t="inlineStr">
        <is>
          <t>3.  Where we DID supply a rate (blue reference column), treat it as a starting figure to sanity-check, not as your price. Overwrite it whenever you know better; your yellow cell always wins.</t>
        </is>
      </c>
    </row>
    <row r="28"/>
    <row r="29"/>
    <row r="30">
      <c r="A30" s="7" t="inlineStr">
        <is>
          <t>4.  Nothing totals correctly until the yellow cells are filled. Any subtotal you see before then is a floor, not an estimate.</t>
        </is>
      </c>
    </row>
    <row r="31"/>
    <row r="32"/>
    <row r="33">
      <c r="A33" s="80" t="inlineStr">
        <is>
          <t>WHY WE CANNOT TELL YOU WHAT THE BLANKS ARE WORTH:  we can tell you exactly how many items are unpriced, and we have, but not what share of the final cost they represent — working that out is the very thing we could not do for those items. Any percentage we printed here would be a guess. The trade table above is the honest substitute: it shows you where the blanks are concentrated so you can judge how much of your project is still open.</t>
        </is>
      </c>
    </row>
    <row r="34"/>
    <row r="35"/>
    <row r="36"/>
  </sheetData>
  <sheetProtection selectLockedCells="1" selectUnlockedCells="1" sheet="1" objects="0" insertRows="1" insertHyperlinks="1" autoFilter="1" scenarios="0" formatColumns="1" deleteColumns="1" insertColumns="1" pivotTables="1" deleteRows="1" formatCells="1" formatRows="1" sort="1"/>
  <mergeCells count="6">
    <mergeCell ref="A3:F6"/>
    <mergeCell ref="A33:F36"/>
    <mergeCell ref="A21:F22"/>
    <mergeCell ref="A30:F31"/>
    <mergeCell ref="A27:F28"/>
    <mergeCell ref="A24:F25"/>
  </mergeCells>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3.xml><?xml version="1.0" encoding="utf-8"?>
<worksheet xmlns="http://schemas.openxmlformats.org/spreadsheetml/2006/main">
  <sheetPr>
    <outlinePr summaryBelow="1" summaryRight="1"/>
    <pageSetUpPr fitToPage="1"/>
  </sheetPr>
  <dimension ref="A1:D16"/>
  <sheetViews>
    <sheetView workbookViewId="0">
      <selection activeCell="A1" sqref="A1"/>
    </sheetView>
  </sheetViews>
  <sheetFormatPr baseColWidth="8" defaultRowHeight="15"/>
  <cols>
    <col width="8" customWidth="1" min="1" max="1"/>
    <col width="44" customWidth="1" min="2" max="2"/>
    <col width="10" customWidth="1" min="3" max="3"/>
    <col width="18" customWidth="1" min="4" max="4"/>
  </cols>
  <sheetData>
    <row r="1">
      <c r="A1" s="20" t="inlineStr">
        <is>
          <t>Division Summary — CSI MasterFormat rollup (fills in as you price)</t>
        </is>
      </c>
    </row>
    <row r="2"/>
    <row r="3">
      <c r="A3" s="16" t="inlineStr">
        <is>
          <t>Div</t>
        </is>
      </c>
      <c r="B3" s="16" t="inlineStr">
        <is>
          <t>Division</t>
        </is>
      </c>
      <c r="C3" s="16" t="inlineStr">
        <is>
          <t>Items</t>
        </is>
      </c>
      <c r="D3" s="16" t="inlineStr">
        <is>
          <t>Extended (USD)</t>
        </is>
      </c>
    </row>
    <row r="4">
      <c r="A4" s="17" t="inlineStr">
        <is>
          <t>03</t>
        </is>
      </c>
      <c r="B4" s="18" t="inlineStr">
        <is>
          <t>03 30 00</t>
        </is>
      </c>
      <c r="C4" s="34">
        <f>COUNTIF('Backup-Structural'!I4:I8,"03*")+COUNTIF('Backup-Architectural'!I4:I17,"03*")+COUNTIF('Backup-Interior'!I4:I14,"03*")+COUNTIF('Backup-Plumbing'!I4:I8,"03*")+COUNTIF('Backup-HVAC'!I4:I6,"03*")+COUNTIF('Backup-Electrical'!I4:I10,"03*")+COUNTIF('Backup-External'!I4:I9,"03*")+COUNTIF('Backup-Preliminaries'!I4:I4,"03*")</f>
        <v/>
      </c>
      <c r="D4" s="24">
        <f>SUMIF('Backup-Structural'!I4:I8,"03*",'Takeoff-Structural'!G4:G8)+SUMIF('Backup-Architectural'!I4:I17,"03*",'Takeoff-Architectural'!G4:G17)+SUMIF('Backup-Interior'!I4:I14,"03*",'Takeoff-Interior'!G4:G14)+SUMIF('Backup-Plumbing'!I4:I8,"03*",'Takeoff-Plumbing'!G4:G8)+SUMIF('Backup-HVAC'!I4:I6,"03*",'Takeoff-HVAC'!G4:G6)+SUMIF('Backup-Electrical'!I4:I10,"03*",'Takeoff-Electrical'!G4:G10)+SUMIF('Backup-External'!I4:I9,"03*",'Takeoff-External'!G4:G9)+SUMIF('Backup-Preliminaries'!I4:I4,"03*",'Takeoff-Preliminaries'!G4:G4)</f>
        <v/>
      </c>
    </row>
    <row r="5">
      <c r="A5" s="17" t="inlineStr">
        <is>
          <t>04</t>
        </is>
      </c>
      <c r="B5" s="18" t="inlineStr">
        <is>
          <t>04 22 00</t>
        </is>
      </c>
      <c r="C5" s="34">
        <f>COUNTIF('Backup-Structural'!I4:I8,"04*")+COUNTIF('Backup-Architectural'!I4:I17,"04*")+COUNTIF('Backup-Interior'!I4:I14,"04*")+COUNTIF('Backup-Plumbing'!I4:I8,"04*")+COUNTIF('Backup-HVAC'!I4:I6,"04*")+COUNTIF('Backup-Electrical'!I4:I10,"04*")+COUNTIF('Backup-External'!I4:I9,"04*")+COUNTIF('Backup-Preliminaries'!I4:I4,"04*")</f>
        <v/>
      </c>
      <c r="D5" s="24">
        <f>SUMIF('Backup-Structural'!I4:I8,"04*",'Takeoff-Structural'!G4:G8)+SUMIF('Backup-Architectural'!I4:I17,"04*",'Takeoff-Architectural'!G4:G17)+SUMIF('Backup-Interior'!I4:I14,"04*",'Takeoff-Interior'!G4:G14)+SUMIF('Backup-Plumbing'!I4:I8,"04*",'Takeoff-Plumbing'!G4:G8)+SUMIF('Backup-HVAC'!I4:I6,"04*",'Takeoff-HVAC'!G4:G6)+SUMIF('Backup-Electrical'!I4:I10,"04*",'Takeoff-Electrical'!G4:G10)+SUMIF('Backup-External'!I4:I9,"04*",'Takeoff-External'!G4:G9)+SUMIF('Backup-Preliminaries'!I4:I4,"04*",'Takeoff-Preliminaries'!G4:G4)</f>
        <v/>
      </c>
    </row>
    <row r="6">
      <c r="A6" s="17" t="inlineStr">
        <is>
          <t>05</t>
        </is>
      </c>
      <c r="B6" s="18" t="inlineStr">
        <is>
          <t>05 21 00</t>
        </is>
      </c>
      <c r="C6" s="34">
        <f>COUNTIF('Backup-Structural'!I4:I8,"05*")+COUNTIF('Backup-Architectural'!I4:I17,"05*")+COUNTIF('Backup-Interior'!I4:I14,"05*")+COUNTIF('Backup-Plumbing'!I4:I8,"05*")+COUNTIF('Backup-HVAC'!I4:I6,"05*")+COUNTIF('Backup-Electrical'!I4:I10,"05*")+COUNTIF('Backup-External'!I4:I9,"05*")+COUNTIF('Backup-Preliminaries'!I4:I4,"05*")</f>
        <v/>
      </c>
      <c r="D6" s="24">
        <f>SUMIF('Backup-Structural'!I4:I8,"05*",'Takeoff-Structural'!G4:G8)+SUMIF('Backup-Architectural'!I4:I17,"05*",'Takeoff-Architectural'!G4:G17)+SUMIF('Backup-Interior'!I4:I14,"05*",'Takeoff-Interior'!G4:G14)+SUMIF('Backup-Plumbing'!I4:I8,"05*",'Takeoff-Plumbing'!G4:G8)+SUMIF('Backup-HVAC'!I4:I6,"05*",'Takeoff-HVAC'!G4:G6)+SUMIF('Backup-Electrical'!I4:I10,"05*",'Takeoff-Electrical'!G4:G10)+SUMIF('Backup-External'!I4:I9,"05*",'Takeoff-External'!G4:G9)+SUMIF('Backup-Preliminaries'!I4:I4,"05*",'Takeoff-Preliminaries'!G4:G4)</f>
        <v/>
      </c>
    </row>
    <row r="7">
      <c r="A7" s="17" t="inlineStr">
        <is>
          <t>07</t>
        </is>
      </c>
      <c r="B7" s="18" t="inlineStr">
        <is>
          <t>07 54 23</t>
        </is>
      </c>
      <c r="C7" s="34">
        <f>COUNTIF('Backup-Structural'!I4:I8,"07*")+COUNTIF('Backup-Architectural'!I4:I17,"07*")+COUNTIF('Backup-Interior'!I4:I14,"07*")+COUNTIF('Backup-Plumbing'!I4:I8,"07*")+COUNTIF('Backup-HVAC'!I4:I6,"07*")+COUNTIF('Backup-Electrical'!I4:I10,"07*")+COUNTIF('Backup-External'!I4:I9,"07*")+COUNTIF('Backup-Preliminaries'!I4:I4,"07*")</f>
        <v/>
      </c>
      <c r="D7" s="24">
        <f>SUMIF('Backup-Structural'!I4:I8,"07*",'Takeoff-Structural'!G4:G8)+SUMIF('Backup-Architectural'!I4:I17,"07*",'Takeoff-Architectural'!G4:G17)+SUMIF('Backup-Interior'!I4:I14,"07*",'Takeoff-Interior'!G4:G14)+SUMIF('Backup-Plumbing'!I4:I8,"07*",'Takeoff-Plumbing'!G4:G8)+SUMIF('Backup-HVAC'!I4:I6,"07*",'Takeoff-HVAC'!G4:G6)+SUMIF('Backup-Electrical'!I4:I10,"07*",'Takeoff-Electrical'!G4:G10)+SUMIF('Backup-External'!I4:I9,"07*",'Takeoff-External'!G4:G9)+SUMIF('Backup-Preliminaries'!I4:I4,"07*",'Takeoff-Preliminaries'!G4:G4)</f>
        <v/>
      </c>
    </row>
    <row r="8">
      <c r="A8" s="17" t="inlineStr">
        <is>
          <t>08</t>
        </is>
      </c>
      <c r="B8" s="18" t="inlineStr">
        <is>
          <t>08 11 00</t>
        </is>
      </c>
      <c r="C8" s="34">
        <f>COUNTIF('Backup-Structural'!I4:I8,"08*")+COUNTIF('Backup-Architectural'!I4:I17,"08*")+COUNTIF('Backup-Interior'!I4:I14,"08*")+COUNTIF('Backup-Plumbing'!I4:I8,"08*")+COUNTIF('Backup-HVAC'!I4:I6,"08*")+COUNTIF('Backup-Electrical'!I4:I10,"08*")+COUNTIF('Backup-External'!I4:I9,"08*")+COUNTIF('Backup-Preliminaries'!I4:I4,"08*")</f>
        <v/>
      </c>
      <c r="D8" s="24">
        <f>SUMIF('Backup-Structural'!I4:I8,"08*",'Takeoff-Structural'!G4:G8)+SUMIF('Backup-Architectural'!I4:I17,"08*",'Takeoff-Architectural'!G4:G17)+SUMIF('Backup-Interior'!I4:I14,"08*",'Takeoff-Interior'!G4:G14)+SUMIF('Backup-Plumbing'!I4:I8,"08*",'Takeoff-Plumbing'!G4:G8)+SUMIF('Backup-HVAC'!I4:I6,"08*",'Takeoff-HVAC'!G4:G6)+SUMIF('Backup-Electrical'!I4:I10,"08*",'Takeoff-Electrical'!G4:G10)+SUMIF('Backup-External'!I4:I9,"08*",'Takeoff-External'!G4:G9)+SUMIF('Backup-Preliminaries'!I4:I4,"08*",'Takeoff-Preliminaries'!G4:G4)</f>
        <v/>
      </c>
    </row>
    <row r="9">
      <c r="A9" s="17" t="inlineStr">
        <is>
          <t>09</t>
        </is>
      </c>
      <c r="B9" s="18" t="inlineStr">
        <is>
          <t>09 22 16</t>
        </is>
      </c>
      <c r="C9" s="34">
        <f>COUNTIF('Backup-Structural'!I4:I8,"09*")+COUNTIF('Backup-Architectural'!I4:I17,"09*")+COUNTIF('Backup-Interior'!I4:I14,"09*")+COUNTIF('Backup-Plumbing'!I4:I8,"09*")+COUNTIF('Backup-HVAC'!I4:I6,"09*")+COUNTIF('Backup-Electrical'!I4:I10,"09*")+COUNTIF('Backup-External'!I4:I9,"09*")+COUNTIF('Backup-Preliminaries'!I4:I4,"09*")</f>
        <v/>
      </c>
      <c r="D9" s="24">
        <f>SUMIF('Backup-Structural'!I4:I8,"09*",'Takeoff-Structural'!G4:G8)+SUMIF('Backup-Architectural'!I4:I17,"09*",'Takeoff-Architectural'!G4:G17)+SUMIF('Backup-Interior'!I4:I14,"09*",'Takeoff-Interior'!G4:G14)+SUMIF('Backup-Plumbing'!I4:I8,"09*",'Takeoff-Plumbing'!G4:G8)+SUMIF('Backup-HVAC'!I4:I6,"09*",'Takeoff-HVAC'!G4:G6)+SUMIF('Backup-Electrical'!I4:I10,"09*",'Takeoff-Electrical'!G4:G10)+SUMIF('Backup-External'!I4:I9,"09*",'Takeoff-External'!G4:G9)+SUMIF('Backup-Preliminaries'!I4:I4,"09*",'Takeoff-Preliminaries'!G4:G4)</f>
        <v/>
      </c>
    </row>
    <row r="10">
      <c r="A10" s="17" t="inlineStr">
        <is>
          <t>11</t>
        </is>
      </c>
      <c r="B10" s="18" t="inlineStr">
        <is>
          <t>11 40 00</t>
        </is>
      </c>
      <c r="C10" s="34">
        <f>COUNTIF('Backup-Structural'!I4:I8,"11*")+COUNTIF('Backup-Architectural'!I4:I17,"11*")+COUNTIF('Backup-Interior'!I4:I14,"11*")+COUNTIF('Backup-Plumbing'!I4:I8,"11*")+COUNTIF('Backup-HVAC'!I4:I6,"11*")+COUNTIF('Backup-Electrical'!I4:I10,"11*")+COUNTIF('Backup-External'!I4:I9,"11*")+COUNTIF('Backup-Preliminaries'!I4:I4,"11*")</f>
        <v/>
      </c>
      <c r="D10" s="24">
        <f>SUMIF('Backup-Structural'!I4:I8,"11*",'Takeoff-Structural'!G4:G8)+SUMIF('Backup-Architectural'!I4:I17,"11*",'Takeoff-Architectural'!G4:G17)+SUMIF('Backup-Interior'!I4:I14,"11*",'Takeoff-Interior'!G4:G14)+SUMIF('Backup-Plumbing'!I4:I8,"11*",'Takeoff-Plumbing'!G4:G8)+SUMIF('Backup-HVAC'!I4:I6,"11*",'Takeoff-HVAC'!G4:G6)+SUMIF('Backup-Electrical'!I4:I10,"11*",'Takeoff-Electrical'!G4:G10)+SUMIF('Backup-External'!I4:I9,"11*",'Takeoff-External'!G4:G9)+SUMIF('Backup-Preliminaries'!I4:I4,"11*",'Takeoff-Preliminaries'!G4:G4)</f>
        <v/>
      </c>
    </row>
    <row r="11">
      <c r="A11" s="17" t="inlineStr">
        <is>
          <t>22</t>
        </is>
      </c>
      <c r="B11" s="18" t="inlineStr">
        <is>
          <t>22 40 00</t>
        </is>
      </c>
      <c r="C11" s="34">
        <f>COUNTIF('Backup-Structural'!I4:I8,"22*")+COUNTIF('Backup-Architectural'!I4:I17,"22*")+COUNTIF('Backup-Interior'!I4:I14,"22*")+COUNTIF('Backup-Plumbing'!I4:I8,"22*")+COUNTIF('Backup-HVAC'!I4:I6,"22*")+COUNTIF('Backup-Electrical'!I4:I10,"22*")+COUNTIF('Backup-External'!I4:I9,"22*")+COUNTIF('Backup-Preliminaries'!I4:I4,"22*")</f>
        <v/>
      </c>
      <c r="D11" s="24">
        <f>SUMIF('Backup-Structural'!I4:I8,"22*",'Takeoff-Structural'!G4:G8)+SUMIF('Backup-Architectural'!I4:I17,"22*",'Takeoff-Architectural'!G4:G17)+SUMIF('Backup-Interior'!I4:I14,"22*",'Takeoff-Interior'!G4:G14)+SUMIF('Backup-Plumbing'!I4:I8,"22*",'Takeoff-Plumbing'!G4:G8)+SUMIF('Backup-HVAC'!I4:I6,"22*",'Takeoff-HVAC'!G4:G6)+SUMIF('Backup-Electrical'!I4:I10,"22*",'Takeoff-Electrical'!G4:G10)+SUMIF('Backup-External'!I4:I9,"22*",'Takeoff-External'!G4:G9)+SUMIF('Backup-Preliminaries'!I4:I4,"22*",'Takeoff-Preliminaries'!G4:G4)</f>
        <v/>
      </c>
    </row>
    <row r="12">
      <c r="A12" s="17" t="inlineStr">
        <is>
          <t>23</t>
        </is>
      </c>
      <c r="B12" s="18" t="inlineStr">
        <is>
          <t>23 74 13</t>
        </is>
      </c>
      <c r="C12" s="34">
        <f>COUNTIF('Backup-Structural'!I4:I8,"23*")+COUNTIF('Backup-Architectural'!I4:I17,"23*")+COUNTIF('Backup-Interior'!I4:I14,"23*")+COUNTIF('Backup-Plumbing'!I4:I8,"23*")+COUNTIF('Backup-HVAC'!I4:I6,"23*")+COUNTIF('Backup-Electrical'!I4:I10,"23*")+COUNTIF('Backup-External'!I4:I9,"23*")+COUNTIF('Backup-Preliminaries'!I4:I4,"23*")</f>
        <v/>
      </c>
      <c r="D12" s="24">
        <f>SUMIF('Backup-Structural'!I4:I8,"23*",'Takeoff-Structural'!G4:G8)+SUMIF('Backup-Architectural'!I4:I17,"23*",'Takeoff-Architectural'!G4:G17)+SUMIF('Backup-Interior'!I4:I14,"23*",'Takeoff-Interior'!G4:G14)+SUMIF('Backup-Plumbing'!I4:I8,"23*",'Takeoff-Plumbing'!G4:G8)+SUMIF('Backup-HVAC'!I4:I6,"23*",'Takeoff-HVAC'!G4:G6)+SUMIF('Backup-Electrical'!I4:I10,"23*",'Takeoff-Electrical'!G4:G10)+SUMIF('Backup-External'!I4:I9,"23*",'Takeoff-External'!G4:G9)+SUMIF('Backup-Preliminaries'!I4:I4,"23*",'Takeoff-Preliminaries'!G4:G4)</f>
        <v/>
      </c>
    </row>
    <row r="13">
      <c r="A13" s="17" t="inlineStr">
        <is>
          <t>26</t>
        </is>
      </c>
      <c r="B13" s="18" t="inlineStr">
        <is>
          <t>26 51 00</t>
        </is>
      </c>
      <c r="C13" s="34">
        <f>COUNTIF('Backup-Structural'!I4:I8,"26*")+COUNTIF('Backup-Architectural'!I4:I17,"26*")+COUNTIF('Backup-Interior'!I4:I14,"26*")+COUNTIF('Backup-Plumbing'!I4:I8,"26*")+COUNTIF('Backup-HVAC'!I4:I6,"26*")+COUNTIF('Backup-Electrical'!I4:I10,"26*")+COUNTIF('Backup-External'!I4:I9,"26*")+COUNTIF('Backup-Preliminaries'!I4:I4,"26*")</f>
        <v/>
      </c>
      <c r="D13" s="24">
        <f>SUMIF('Backup-Structural'!I4:I8,"26*",'Takeoff-Structural'!G4:G8)+SUMIF('Backup-Architectural'!I4:I17,"26*",'Takeoff-Architectural'!G4:G17)+SUMIF('Backup-Interior'!I4:I14,"26*",'Takeoff-Interior'!G4:G14)+SUMIF('Backup-Plumbing'!I4:I8,"26*",'Takeoff-Plumbing'!G4:G8)+SUMIF('Backup-HVAC'!I4:I6,"26*",'Takeoff-HVAC'!G4:G6)+SUMIF('Backup-Electrical'!I4:I10,"26*",'Takeoff-Electrical'!G4:G10)+SUMIF('Backup-External'!I4:I9,"26*",'Takeoff-External'!G4:G9)+SUMIF('Backup-Preliminaries'!I4:I4,"26*",'Takeoff-Preliminaries'!G4:G4)</f>
        <v/>
      </c>
    </row>
    <row r="14">
      <c r="A14" s="17" t="inlineStr">
        <is>
          <t>32</t>
        </is>
      </c>
      <c r="B14" s="18" t="inlineStr">
        <is>
          <t>32 12 16</t>
        </is>
      </c>
      <c r="C14" s="34">
        <f>COUNTIF('Backup-Structural'!I4:I8,"32*")+COUNTIF('Backup-Architectural'!I4:I17,"32*")+COUNTIF('Backup-Interior'!I4:I14,"32*")+COUNTIF('Backup-Plumbing'!I4:I8,"32*")+COUNTIF('Backup-HVAC'!I4:I6,"32*")+COUNTIF('Backup-Electrical'!I4:I10,"32*")+COUNTIF('Backup-External'!I4:I9,"32*")+COUNTIF('Backup-Preliminaries'!I4:I4,"32*")</f>
        <v/>
      </c>
      <c r="D14" s="24">
        <f>SUMIF('Backup-Structural'!I4:I8,"32*",'Takeoff-Structural'!G4:G8)+SUMIF('Backup-Architectural'!I4:I17,"32*",'Takeoff-Architectural'!G4:G17)+SUMIF('Backup-Interior'!I4:I14,"32*",'Takeoff-Interior'!G4:G14)+SUMIF('Backup-Plumbing'!I4:I8,"32*",'Takeoff-Plumbing'!G4:G8)+SUMIF('Backup-HVAC'!I4:I6,"32*",'Takeoff-HVAC'!G4:G6)+SUMIF('Backup-Electrical'!I4:I10,"32*",'Takeoff-Electrical'!G4:G10)+SUMIF('Backup-External'!I4:I9,"32*",'Takeoff-External'!G4:G9)+SUMIF('Backup-Preliminaries'!I4:I4,"32*",'Takeoff-Preliminaries'!G4:G4)</f>
        <v/>
      </c>
    </row>
    <row r="15">
      <c r="A15" s="17" t="inlineStr">
        <is>
          <t>33</t>
        </is>
      </c>
      <c r="B15" s="18" t="inlineStr">
        <is>
          <t>33 11 00</t>
        </is>
      </c>
      <c r="C15" s="34">
        <f>COUNTIF('Backup-Structural'!I4:I8,"33*")+COUNTIF('Backup-Architectural'!I4:I17,"33*")+COUNTIF('Backup-Interior'!I4:I14,"33*")+COUNTIF('Backup-Plumbing'!I4:I8,"33*")+COUNTIF('Backup-HVAC'!I4:I6,"33*")+COUNTIF('Backup-Electrical'!I4:I10,"33*")+COUNTIF('Backup-External'!I4:I9,"33*")+COUNTIF('Backup-Preliminaries'!I4:I4,"33*")</f>
        <v/>
      </c>
      <c r="D15" s="24">
        <f>SUMIF('Backup-Structural'!I4:I8,"33*",'Takeoff-Structural'!G4:G8)+SUMIF('Backup-Architectural'!I4:I17,"33*",'Takeoff-Architectural'!G4:G17)+SUMIF('Backup-Interior'!I4:I14,"33*",'Takeoff-Interior'!G4:G14)+SUMIF('Backup-Plumbing'!I4:I8,"33*",'Takeoff-Plumbing'!G4:G8)+SUMIF('Backup-HVAC'!I4:I6,"33*",'Takeoff-HVAC'!G4:G6)+SUMIF('Backup-Electrical'!I4:I10,"33*",'Takeoff-Electrical'!G4:G10)+SUMIF('Backup-External'!I4:I9,"33*",'Takeoff-External'!G4:G9)+SUMIF('Backup-Preliminaries'!I4:I4,"33*",'Takeoff-Preliminaries'!G4:G4)</f>
        <v/>
      </c>
    </row>
    <row r="16">
      <c r="B16" s="25" t="inlineStr">
        <is>
          <t>Total (equals sum of trade subtotals)</t>
        </is>
      </c>
      <c r="D16" s="40">
        <f>SUM(D4:D15)</f>
        <v/>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4.xml><?xml version="1.0" encoding="utf-8"?>
<worksheet xmlns="http://schemas.openxmlformats.org/spreadsheetml/2006/main">
  <sheetPr>
    <outlinePr summaryBelow="1" summaryRight="1"/>
    <pageSetUpPr fitToPage="1"/>
  </sheetPr>
  <dimension ref="A1:F26"/>
  <sheetViews>
    <sheetView workbookViewId="0">
      <pane ySplit="6" topLeftCell="A7" activePane="bottomLeft" state="frozen"/>
      <selection pane="bottomLeft" activeCell="A1" sqref="A1"/>
    </sheetView>
  </sheetViews>
  <sheetFormatPr baseColWidth="8" defaultRowHeight="15"/>
  <cols>
    <col width="14" customWidth="1" min="1" max="1"/>
    <col width="40" customWidth="1" min="2" max="2"/>
    <col width="10" customWidth="1" min="3" max="3"/>
    <col width="8" customWidth="1" min="4" max="4"/>
    <col width="56" customWidth="1" min="5" max="5"/>
    <col width="34" customWidth="1" min="6" max="6"/>
  </cols>
  <sheetData>
    <row r="1">
      <c r="A1" s="20" t="inlineStr">
        <is>
          <t>Confidence Report — read this before using the numbers</t>
        </is>
      </c>
    </row>
    <row r="2"/>
    <row r="3">
      <c r="A3" s="11" t="inlineStr">
        <is>
          <t>Every quantity carries a weight in the Check column. 1.0 means it was counted or measured directly from a dimensioned drawing. 0.9 means one stated assumption stands behind it, 0.7 that it was derived through a declared rule, and 0.5 that the drawings did not carry enough detail and an allowance was used. Anything below 1.0 is highlighted: those are the lines worth your time first. The weight points to where your attention is worth spending — it is not a claim about how accurate the number is, and we publish no overall score for the job.</t>
        </is>
      </c>
    </row>
    <row r="4"/>
    <row r="5" ht="30" customHeight="1">
      <c r="A5" s="81" t="inlineStr">
        <is>
          <t>BASELINE PRICE COVERAGE: 24 of 52 items (46%) carry an indicative baseline rate. The remaining 28 ship with EMPTY cost cells for you to fill — they are not zero-cost and are not excluded from scope.</t>
        </is>
      </c>
    </row>
    <row r="6" ht="30" customHeight="1">
      <c r="A6" s="81" t="inlineStr">
        <is>
          <t>LABOR RATE BASIS: baseline labor rates assume PRIVATE work. Public projects bound to prevailing-wage law (Davis-Bacon, state wage orders) pay materially more for the same hours — set the prevailing-wage factor in Settings (or overtype labor rates) before relying on any labor figure for such a job. The factor scales labor only, never material or equipment.</t>
        </is>
      </c>
    </row>
    <row r="7">
      <c r="A7" s="16" t="inlineStr">
        <is>
          <t>Trade</t>
        </is>
      </c>
      <c r="B7" s="16" t="inlineStr">
        <is>
          <t>Items</t>
        </is>
      </c>
      <c r="C7" s="16" t="inlineStr">
        <is>
          <t>high</t>
        </is>
      </c>
      <c r="D7" s="16" t="inlineStr">
        <is>
          <t>medium</t>
        </is>
      </c>
      <c r="E7" s="16" t="inlineStr">
        <is>
          <t>low</t>
        </is>
      </c>
      <c r="F7" s="16" t="inlineStr">
        <is>
          <t>Value share when priced (=SUMIF live)</t>
        </is>
      </c>
    </row>
    <row r="8">
      <c r="A8" s="18" t="inlineStr">
        <is>
          <t>Structural</t>
        </is>
      </c>
      <c r="B8" s="34" t="n">
        <v>5</v>
      </c>
      <c r="C8" s="34" t="n">
        <v>5</v>
      </c>
      <c r="D8" s="34" t="n">
        <v>0</v>
      </c>
      <c r="E8" s="34" t="n">
        <v>0</v>
      </c>
      <c r="F8" s="35">
        <f>IF(SUM('Takeoff-Structural'!G4:G8)=0,"—",SUMIF('Takeoff-Structural'!H4:H8,"low",'Takeoff-Structural'!G4:G8)/SUM('Takeoff-Structural'!G4:G8))</f>
        <v/>
      </c>
    </row>
    <row r="9">
      <c r="A9" s="18" t="inlineStr">
        <is>
          <t>Architectural</t>
        </is>
      </c>
      <c r="B9" s="34" t="n">
        <v>14</v>
      </c>
      <c r="C9" s="34" t="n">
        <v>13</v>
      </c>
      <c r="D9" s="34" t="n">
        <v>1</v>
      </c>
      <c r="E9" s="34" t="n">
        <v>0</v>
      </c>
      <c r="F9" s="35">
        <f>IF(SUM('Takeoff-Architectural'!G4:G17)=0,"—",SUMIF('Takeoff-Architectural'!H4:H17,"low",'Takeoff-Architectural'!G4:G17)/SUM('Takeoff-Architectural'!G4:G17))</f>
        <v/>
      </c>
    </row>
    <row r="10">
      <c r="A10" s="18" t="inlineStr">
        <is>
          <t>Interior</t>
        </is>
      </c>
      <c r="B10" s="34" t="n">
        <v>11</v>
      </c>
      <c r="C10" s="34" t="n">
        <v>8</v>
      </c>
      <c r="D10" s="34" t="n">
        <v>3</v>
      </c>
      <c r="E10" s="34" t="n">
        <v>0</v>
      </c>
      <c r="F10" s="35">
        <f>IF(SUM('Takeoff-Interior'!G4:G14)=0,"—",SUMIF('Takeoff-Interior'!H4:H14,"low",'Takeoff-Interior'!G4:G14)/SUM('Takeoff-Interior'!G4:G14))</f>
        <v/>
      </c>
    </row>
    <row r="11">
      <c r="A11" s="18" t="inlineStr">
        <is>
          <t>Plumbing</t>
        </is>
      </c>
      <c r="B11" s="34" t="n">
        <v>5</v>
      </c>
      <c r="C11" s="34" t="n">
        <v>5</v>
      </c>
      <c r="D11" s="34" t="n">
        <v>0</v>
      </c>
      <c r="E11" s="34" t="n">
        <v>0</v>
      </c>
      <c r="F11" s="35">
        <f>IF(SUM('Takeoff-Plumbing'!G4:G8)=0,"—",SUMIF('Takeoff-Plumbing'!H4:H8,"low",'Takeoff-Plumbing'!G4:G8)/SUM('Takeoff-Plumbing'!G4:G8))</f>
        <v/>
      </c>
    </row>
    <row r="12">
      <c r="A12" s="18" t="inlineStr">
        <is>
          <t>HVAC</t>
        </is>
      </c>
      <c r="B12" s="34" t="n">
        <v>3</v>
      </c>
      <c r="C12" s="34" t="n">
        <v>3</v>
      </c>
      <c r="D12" s="34" t="n">
        <v>0</v>
      </c>
      <c r="E12" s="34" t="n">
        <v>0</v>
      </c>
      <c r="F12" s="35">
        <f>IF(SUM('Takeoff-HVAC'!G4:G6)=0,"—",SUMIF('Takeoff-HVAC'!H4:H6,"low",'Takeoff-HVAC'!G4:G6)/SUM('Takeoff-HVAC'!G4:G6))</f>
        <v/>
      </c>
    </row>
    <row r="13">
      <c r="A13" s="18" t="inlineStr">
        <is>
          <t>Electrical</t>
        </is>
      </c>
      <c r="B13" s="34" t="n">
        <v>7</v>
      </c>
      <c r="C13" s="34" t="n">
        <v>7</v>
      </c>
      <c r="D13" s="34" t="n">
        <v>0</v>
      </c>
      <c r="E13" s="34" t="n">
        <v>0</v>
      </c>
      <c r="F13" s="35">
        <f>IF(SUM('Takeoff-Electrical'!G4:G10)=0,"—",SUMIF('Takeoff-Electrical'!H4:H10,"low",'Takeoff-Electrical'!G4:G10)/SUM('Takeoff-Electrical'!G4:G10))</f>
        <v/>
      </c>
    </row>
    <row r="14">
      <c r="A14" s="18" t="inlineStr">
        <is>
          <t>External</t>
        </is>
      </c>
      <c r="B14" s="34" t="n">
        <v>6</v>
      </c>
      <c r="C14" s="34" t="n">
        <v>2</v>
      </c>
      <c r="D14" s="34" t="n">
        <v>2</v>
      </c>
      <c r="E14" s="34" t="n">
        <v>2</v>
      </c>
      <c r="F14" s="35">
        <f>IF(SUM('Takeoff-External'!G4:G9)=0,"—",SUMIF('Takeoff-External'!H4:H9,"low",'Takeoff-External'!G4:G9)/SUM('Takeoff-External'!G4:G9))</f>
        <v/>
      </c>
    </row>
    <row r="15">
      <c r="A15" s="18" t="inlineStr">
        <is>
          <t>Preliminaries</t>
        </is>
      </c>
      <c r="B15" s="34" t="n">
        <v>1</v>
      </c>
      <c r="C15" s="34" t="n">
        <v>0</v>
      </c>
      <c r="D15" s="34" t="n">
        <v>0</v>
      </c>
      <c r="E15" s="34" t="n">
        <v>1</v>
      </c>
      <c r="F15" s="35">
        <f>IF(SUM('Takeoff-Preliminaries'!G4:G4)=0,"—",SUMIF('Takeoff-Preliminaries'!H4:H4,"low",'Takeoff-Preliminaries'!G4:G4)/SUM('Takeoff-Preliminaries'!G4:G4))</f>
        <v/>
      </c>
    </row>
    <row r="16"/>
    <row r="17">
      <c r="A17" s="3" t="inlineStr">
        <is>
          <t>Lines worth a second look (weight below 1.0):</t>
        </is>
      </c>
    </row>
    <row r="18">
      <c r="A18" s="16" t="inlineStr">
        <is>
          <t>Trade</t>
        </is>
      </c>
      <c r="B18" s="16" t="inlineStr">
        <is>
          <t>Item</t>
        </is>
      </c>
      <c r="C18" s="16" t="inlineStr">
        <is>
          <t>Qty</t>
        </is>
      </c>
      <c r="D18" s="16" t="inlineStr">
        <is>
          <t>Unit</t>
        </is>
      </c>
      <c r="E18" s="16" t="inlineStr">
        <is>
          <t>Why / assumption</t>
        </is>
      </c>
    </row>
    <row r="19">
      <c r="A19" s="17" t="inlineStr">
        <is>
          <t>External</t>
        </is>
      </c>
      <c r="B19" s="18" t="inlineStr">
        <is>
          <t>Refuse enclosure screen — construction and height not shown</t>
        </is>
      </c>
      <c r="C19" s="24" t="n">
        <v>0</v>
      </c>
      <c r="D19" s="17" t="inlineStr">
        <is>
          <t>LF</t>
        </is>
      </c>
      <c r="E19" s="18" t="inlineStr">
        <is>
          <t>C-101 keynote 3 calls for a 12 x 10 refuse pad but no enclosure elevation, material or height is drawn anywhere in the set. A quantity here would be invented. What would resolve it: an enclosure detail or a note stating the screen type and height.</t>
        </is>
      </c>
    </row>
    <row r="20">
      <c r="A20" s="17" t="inlineStr">
        <is>
          <t>External</t>
        </is>
      </c>
      <c r="B20" s="18" t="inlineStr">
        <is>
          <t>Site and car park lighting — BY OTHERS per G-002</t>
        </is>
      </c>
      <c r="C20" s="24" t="n">
        <v>0</v>
      </c>
      <c r="D20" s="17" t="inlineStr">
        <is>
          <t>EA</t>
        </is>
      </c>
      <c r="E20" s="18" t="inlineStr">
        <is>
          <t>The scope note on G-002 places site lighting with others, and C-101 keynote 5 repeats it. Excluded from this takeoff rather than carried at zero without saying why.</t>
        </is>
      </c>
    </row>
    <row r="21">
      <c r="A21" s="17" t="inlineStr">
        <is>
          <t>Preliminaries</t>
        </is>
      </c>
      <c r="B21" s="18" t="inlineStr">
        <is>
          <t>Preliminaries and site running costs — ALLOWANCE, not a measured quantity</t>
        </is>
      </c>
      <c r="C21" s="24" t="n">
        <v>1</v>
      </c>
      <c r="D21" s="17" t="inlineStr">
        <is>
          <t>allowance</t>
        </is>
      </c>
      <c r="E21" s="18" t="inlineStr">
        <is>
          <t>ALLOWANCE at 12-20% of the direct cost, the band for a job of this size (A small job carries a full set of fixed costs — establishment, insurances, a supervisor, temporary services — over very little work.), adjusted for a 1.7-month schedule against the 6-month job this band assumes (65% of preliminaries is time-related). Range 17,300 to 28,834; the figure carried is the midpoint. This is NOT measured: the professional method builds preliminaries from the schedule, using local staff salaries and plant rates, and those are not held for this market. Replace it with your own build-up before tendering. COVERS: Site establishment and clearing away at the end; Site management and supervision for the duration; Site accommodation, welfare and storage; Temporary services — power, water, lighting, telecoms; Temporary works not measured elsewhere: hoarding, access, edge protection; Common-user plant standing time, including tower crane and hoists where used; Safety, protection and site cleaning throughout; Insurances, bonds and statutory charges; Setting out, surveying and as-built records; Testing, commissioning and handover attendance. EXCLUDES: trade_plant: Plant that belongs to one operation — a concrete pump, an excavator — is part of that trade's rate, not of preliminaries. Counting it twice is the most common error in this section.; head_office_overhead_and_profit: A contractor's margin sits on top of the whole tender and is not part of running the site.; design_fees: Consultant fees are the client's cost, not the contractor's preliminaries.; contingency: Carried separately and driven by design maturity, not by site running cost.</t>
        </is>
      </c>
    </row>
    <row r="22"/>
    <row r="23"/>
    <row r="24">
      <c r="A24" s="3" t="inlineStr">
        <is>
          <t>Key notes and risks carried from the takeoff:</t>
        </is>
      </c>
    </row>
    <row r="25" ht="30" customHeight="1">
      <c r="A25" s="7" t="inlineStr">
        <is>
          <t>• Demonstration project. The building does not exist; the drawing set was authored by DraftTakeoff for this sample, and every quantity below is measured from the dimensions printed on those sheets.</t>
        </is>
      </c>
    </row>
    <row r="26" ht="15" customHeight="1">
      <c r="A26" s="7" t="inlineStr">
        <is>
          <t>• Two lines carry SOURCE INSUFFICIENT on purpose — a sample where everything resolves would misrepresent what a real drawing set does.</t>
        </is>
      </c>
    </row>
  </sheetData>
  <sheetProtection selectLockedCells="1" selectUnlockedCells="1" sheet="1" objects="0" insertRows="1" insertHyperlinks="1" autoFilter="1" scenarios="0" formatColumns="1" deleteColumns="1" insertColumns="1" pivotTables="1" deleteRows="1" formatCells="1" formatRows="1" sort="1"/>
  <mergeCells count="5">
    <mergeCell ref="A5:F5"/>
    <mergeCell ref="A6:F6"/>
    <mergeCell ref="A26:F26"/>
    <mergeCell ref="A3:F4"/>
    <mergeCell ref="A25:F25"/>
  </mergeCells>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35.xml><?xml version="1.0" encoding="utf-8"?>
<worksheet xmlns="http://schemas.openxmlformats.org/spreadsheetml/2006/main">
  <sheetPr>
    <outlinePr summaryBelow="1" summaryRight="1"/>
    <pageSetUpPr fitToPage="1"/>
  </sheetPr>
  <dimension ref="A1:D95"/>
  <sheetViews>
    <sheetView workbookViewId="0">
      <selection activeCell="A1" sqref="A1"/>
    </sheetView>
  </sheetViews>
  <sheetFormatPr baseColWidth="8" defaultRowHeight="15"/>
  <cols>
    <col width="5" customWidth="1" min="1" max="1"/>
    <col width="72" customWidth="1" min="2" max="2"/>
    <col width="10" customWidth="1" min="3" max="3"/>
  </cols>
  <sheetData>
    <row r="1">
      <c r="A1" s="20" t="inlineStr">
        <is>
          <t>Verification Record — automated quality gate results for this exact file</t>
        </is>
      </c>
    </row>
    <row r="2"/>
    <row r="3">
      <c r="A3" s="11" t="inlineStr">
        <is>
          <t>Every DraftTakeoff workbook must pass all checks below before delivery — no exceptions. This sheet was written by the verification tool itself immediately after the final passing run, so the results refer to the numbers you are holding, not an earlier draft.</t>
        </is>
      </c>
    </row>
    <row r="4"/>
    <row r="5"/>
    <row r="6"/>
    <row r="7">
      <c r="A7" s="87" t="inlineStr">
        <is>
          <t>#</t>
        </is>
      </c>
      <c r="B7" s="87" t="inlineStr">
        <is>
          <t>Check</t>
        </is>
      </c>
      <c r="C7" s="87" t="inlineStr">
        <is>
          <t>Result</t>
        </is>
      </c>
    </row>
    <row r="8">
      <c r="A8" t="n">
        <v>1</v>
      </c>
      <c r="B8" t="inlineStr">
        <is>
          <t>qty integrity: no null qty, no money-in-qty on lump-sum units, no uncounted placeholders, zeros are deliberate, units are units</t>
        </is>
      </c>
      <c r="C8" s="88" t="inlineStr">
        <is>
          <t>PASS</t>
        </is>
      </c>
    </row>
    <row r="9">
      <c r="A9" t="n">
        <v>2</v>
      </c>
      <c r="B9" t="inlineStr">
        <is>
          <t>take-off is internally possible: companion work, ratios, dimension bounds</t>
        </is>
      </c>
      <c r="C9" s="88" t="inlineStr">
        <is>
          <t>PASS</t>
        </is>
      </c>
    </row>
    <row r="10">
      <c r="A10" t="n">
        <v>3</v>
      </c>
      <c r="B10" t="inlineStr">
        <is>
          <t>the document knows what it is for</t>
        </is>
      </c>
      <c r="C10" s="88" t="inlineStr">
        <is>
          <t>PASS</t>
        </is>
      </c>
    </row>
    <row r="11">
      <c r="A11" t="n">
        <v>4</v>
      </c>
      <c r="B11" t="inlineStr">
        <is>
          <t>preliminaries: a priced job carries its site running costs</t>
        </is>
      </c>
      <c r="C11" s="88" t="inlineStr">
        <is>
          <t>PASS</t>
        </is>
      </c>
    </row>
    <row r="12">
      <c r="A12" t="n">
        <v>5</v>
      </c>
      <c r="B12" t="inlineStr">
        <is>
          <t>the job carries at least one re-executable calculation</t>
        </is>
      </c>
      <c r="C12" s="88" t="inlineStr">
        <is>
          <t>PASS</t>
        </is>
      </c>
    </row>
    <row r="13">
      <c r="A13" t="n">
        <v>6</v>
      </c>
      <c r="B13" t="inlineStr">
        <is>
          <t>calc tables reconcile with their quantities</t>
        </is>
      </c>
      <c r="C13" s="88" t="inlineStr">
        <is>
          <t>PASS</t>
        </is>
      </c>
    </row>
    <row r="14">
      <c r="A14" t="n">
        <v>7</v>
      </c>
      <c r="B14" t="inlineStr">
        <is>
          <t>Confidence Report states the baseline-price coverage of this workbook</t>
        </is>
      </c>
      <c r="C14" s="88" t="inlineStr">
        <is>
          <t>PASS</t>
        </is>
      </c>
    </row>
    <row r="15">
      <c r="A15" t="n">
        <v>8</v>
      </c>
      <c r="B15" t="inlineStr">
        <is>
          <t>quantity provenance: items sourced from something other than the drawings say so</t>
        </is>
      </c>
      <c r="C15" s="88" t="inlineStr">
        <is>
          <t>PASS</t>
        </is>
      </c>
    </row>
    <row r="16">
      <c r="A16" t="n">
        <v>9</v>
      </c>
      <c r="B16" t="inlineStr">
        <is>
          <t>scope completeness: no un-disclosed gaps against building-type checklist</t>
        </is>
      </c>
      <c r="C16" s="88" t="inlineStr">
        <is>
          <t>PASS</t>
        </is>
      </c>
    </row>
    <row r="17">
      <c r="A17" t="n">
        <v>10</v>
      </c>
      <c r="B17" t="inlineStr">
        <is>
          <t>measurement basis: every measured item declares its measurement rule, and items of the same class agree</t>
        </is>
      </c>
      <c r="C17" s="88" t="inlineStr">
        <is>
          <t>PASS</t>
        </is>
      </c>
    </row>
    <row r="18">
      <c r="A18" t="n">
        <v>11</v>
      </c>
      <c r="B18" t="inlineStr">
        <is>
          <t>whole-trade coverage: every standard trade is either taken off or declared</t>
        </is>
      </c>
      <c r="C18" s="88" t="inlineStr">
        <is>
          <t>PASS</t>
        </is>
      </c>
    </row>
    <row r="19">
      <c r="A19" t="n">
        <v>12</v>
      </c>
      <c r="B19" t="inlineStr">
        <is>
          <t>rebar method: every reinforcement quantity is either counted bar by bar or says it is an estimate</t>
        </is>
      </c>
      <c r="C19" s="88" t="inlineStr">
        <is>
          <t>PASS</t>
        </is>
      </c>
    </row>
    <row r="20">
      <c r="A20" t="n">
        <v>13</v>
      </c>
      <c r="B20" t="inlineStr">
        <is>
          <t>unit dimension: every item carries a unit this system can convert and compare (19 item(s) also checked against the dimension of the measurement rule they declare)</t>
        </is>
      </c>
      <c r="C20" s="88" t="inlineStr">
        <is>
          <t>PASS</t>
        </is>
      </c>
    </row>
    <row r="21">
      <c r="A21" t="n">
        <v>14</v>
      </c>
      <c r="B21" t="inlineStr">
        <is>
          <t>declared scope is present: no trade the job calls assessed has zero items</t>
        </is>
      </c>
      <c r="C21" s="88" t="inlineStr">
        <is>
          <t>PASS</t>
        </is>
      </c>
    </row>
    <row r="22">
      <c r="A22" t="n">
        <v>15</v>
      </c>
      <c r="B22" t="inlineStr">
        <is>
          <t>no duplicated lines: the same measurement is not entered twice</t>
        </is>
      </c>
      <c r="C22" s="88" t="inlineStr">
        <is>
          <t>PASS</t>
        </is>
      </c>
    </row>
    <row r="23">
      <c r="A23" t="n">
        <v>16</v>
      </c>
      <c r="B23" t="inlineStr">
        <is>
          <t>no composite lines: one line is one work</t>
        </is>
      </c>
      <c r="C23" s="88" t="inlineStr">
        <is>
          <t>PASS</t>
        </is>
      </c>
    </row>
    <row r="24">
      <c r="A24" t="n">
        <v>17</v>
      </c>
      <c r="B24" t="inlineStr">
        <is>
          <t>sheets exist for structural</t>
        </is>
      </c>
      <c r="C24" s="88" t="inlineStr">
        <is>
          <t>PASS</t>
        </is>
      </c>
    </row>
    <row r="25">
      <c r="A25" t="n">
        <v>18</v>
      </c>
      <c r="B25" t="inlineStr">
        <is>
          <t>structural: backup row count == takeoff (5 vs 5)</t>
        </is>
      </c>
      <c r="C25" s="88" t="inlineStr">
        <is>
          <t>PASS</t>
        </is>
      </c>
    </row>
    <row r="26">
      <c r="A26" t="n">
        <v>19</v>
      </c>
      <c r="B26" t="inlineStr">
        <is>
          <t>structural: every Takeoff qty links Backup</t>
        </is>
      </c>
      <c r="C26" s="88" t="inlineStr">
        <is>
          <t>PASS</t>
        </is>
      </c>
    </row>
    <row r="27">
      <c r="A27" t="n">
        <v>20</v>
      </c>
      <c r="B27" t="inlineStr">
        <is>
          <t>structural: Extended formulas intact</t>
        </is>
      </c>
      <c r="C27" s="88" t="inlineStr">
        <is>
          <t>PASS</t>
        </is>
      </c>
    </row>
    <row r="28">
      <c r="A28" t="n">
        <v>21</v>
      </c>
      <c r="B28" t="inlineStr">
        <is>
          <t>structural: subtotal SUM present</t>
        </is>
      </c>
      <c r="C28" s="88" t="inlineStr">
        <is>
          <t>PASS</t>
        </is>
      </c>
    </row>
    <row r="29">
      <c r="A29" t="n">
        <v>22</v>
      </c>
      <c r="B29" t="inlineStr">
        <is>
          <t>sheets exist for architectural</t>
        </is>
      </c>
      <c r="C29" s="88" t="inlineStr">
        <is>
          <t>PASS</t>
        </is>
      </c>
    </row>
    <row r="30">
      <c r="A30" t="n">
        <v>23</v>
      </c>
      <c r="B30" t="inlineStr">
        <is>
          <t>architectural: backup row count == takeoff (14 vs 14)</t>
        </is>
      </c>
      <c r="C30" s="88" t="inlineStr">
        <is>
          <t>PASS</t>
        </is>
      </c>
    </row>
    <row r="31">
      <c r="A31" t="n">
        <v>24</v>
      </c>
      <c r="B31" t="inlineStr">
        <is>
          <t>architectural: every Takeoff qty links Backup</t>
        </is>
      </c>
      <c r="C31" s="88" t="inlineStr">
        <is>
          <t>PASS</t>
        </is>
      </c>
    </row>
    <row r="32">
      <c r="A32" t="n">
        <v>25</v>
      </c>
      <c r="B32" t="inlineStr">
        <is>
          <t>architectural: Extended formulas intact</t>
        </is>
      </c>
      <c r="C32" s="88" t="inlineStr">
        <is>
          <t>PASS</t>
        </is>
      </c>
    </row>
    <row r="33">
      <c r="A33" t="n">
        <v>26</v>
      </c>
      <c r="B33" t="inlineStr">
        <is>
          <t>architectural: subtotal SUM present</t>
        </is>
      </c>
      <c r="C33" s="88" t="inlineStr">
        <is>
          <t>PASS</t>
        </is>
      </c>
    </row>
    <row r="34">
      <c r="A34" t="n">
        <v>27</v>
      </c>
      <c r="B34" t="inlineStr">
        <is>
          <t>sheets exist for interior</t>
        </is>
      </c>
      <c r="C34" s="88" t="inlineStr">
        <is>
          <t>PASS</t>
        </is>
      </c>
    </row>
    <row r="35">
      <c r="A35" t="n">
        <v>28</v>
      </c>
      <c r="B35" t="inlineStr">
        <is>
          <t>interior: backup row count == takeoff (11 vs 11)</t>
        </is>
      </c>
      <c r="C35" s="88" t="inlineStr">
        <is>
          <t>PASS</t>
        </is>
      </c>
    </row>
    <row r="36">
      <c r="A36" t="n">
        <v>29</v>
      </c>
      <c r="B36" t="inlineStr">
        <is>
          <t>interior: every Takeoff qty links Backup</t>
        </is>
      </c>
      <c r="C36" s="88" t="inlineStr">
        <is>
          <t>PASS</t>
        </is>
      </c>
    </row>
    <row r="37">
      <c r="A37" t="n">
        <v>30</v>
      </c>
      <c r="B37" t="inlineStr">
        <is>
          <t>interior: Extended formulas intact</t>
        </is>
      </c>
      <c r="C37" s="88" t="inlineStr">
        <is>
          <t>PASS</t>
        </is>
      </c>
    </row>
    <row r="38">
      <c r="A38" t="n">
        <v>31</v>
      </c>
      <c r="B38" t="inlineStr">
        <is>
          <t>interior: subtotal SUM present</t>
        </is>
      </c>
      <c r="C38" s="88" t="inlineStr">
        <is>
          <t>PASS</t>
        </is>
      </c>
    </row>
    <row r="39">
      <c r="A39" t="n">
        <v>32</v>
      </c>
      <c r="B39" t="inlineStr">
        <is>
          <t>sheets exist for plumbing</t>
        </is>
      </c>
      <c r="C39" s="88" t="inlineStr">
        <is>
          <t>PASS</t>
        </is>
      </c>
    </row>
    <row r="40">
      <c r="A40" t="n">
        <v>33</v>
      </c>
      <c r="B40" t="inlineStr">
        <is>
          <t>plumbing: backup row count == takeoff (5 vs 5)</t>
        </is>
      </c>
      <c r="C40" s="88" t="inlineStr">
        <is>
          <t>PASS</t>
        </is>
      </c>
    </row>
    <row r="41">
      <c r="A41" t="n">
        <v>34</v>
      </c>
      <c r="B41" t="inlineStr">
        <is>
          <t>plumbing: every Takeoff qty links Backup</t>
        </is>
      </c>
      <c r="C41" s="88" t="inlineStr">
        <is>
          <t>PASS</t>
        </is>
      </c>
    </row>
    <row r="42">
      <c r="A42" t="n">
        <v>35</v>
      </c>
      <c r="B42" t="inlineStr">
        <is>
          <t>plumbing: Extended formulas intact</t>
        </is>
      </c>
      <c r="C42" s="88" t="inlineStr">
        <is>
          <t>PASS</t>
        </is>
      </c>
    </row>
    <row r="43">
      <c r="A43" t="n">
        <v>36</v>
      </c>
      <c r="B43" t="inlineStr">
        <is>
          <t>plumbing: subtotal SUM present</t>
        </is>
      </c>
      <c r="C43" s="88" t="inlineStr">
        <is>
          <t>PASS</t>
        </is>
      </c>
    </row>
    <row r="44">
      <c r="A44" t="n">
        <v>37</v>
      </c>
      <c r="B44" t="inlineStr">
        <is>
          <t>sheets exist for hvac</t>
        </is>
      </c>
      <c r="C44" s="88" t="inlineStr">
        <is>
          <t>PASS</t>
        </is>
      </c>
    </row>
    <row r="45">
      <c r="A45" t="n">
        <v>38</v>
      </c>
      <c r="B45" t="inlineStr">
        <is>
          <t>hvac: backup row count == takeoff (3 vs 3)</t>
        </is>
      </c>
      <c r="C45" s="88" t="inlineStr">
        <is>
          <t>PASS</t>
        </is>
      </c>
    </row>
    <row r="46">
      <c r="A46" t="n">
        <v>39</v>
      </c>
      <c r="B46" t="inlineStr">
        <is>
          <t>hvac: every Takeoff qty links Backup</t>
        </is>
      </c>
      <c r="C46" s="88" t="inlineStr">
        <is>
          <t>PASS</t>
        </is>
      </c>
    </row>
    <row r="47">
      <c r="A47" t="n">
        <v>40</v>
      </c>
      <c r="B47" t="inlineStr">
        <is>
          <t>hvac: Extended formulas intact</t>
        </is>
      </c>
      <c r="C47" s="88" t="inlineStr">
        <is>
          <t>PASS</t>
        </is>
      </c>
    </row>
    <row r="48">
      <c r="A48" t="n">
        <v>41</v>
      </c>
      <c r="B48" t="inlineStr">
        <is>
          <t>hvac: subtotal SUM present</t>
        </is>
      </c>
      <c r="C48" s="88" t="inlineStr">
        <is>
          <t>PASS</t>
        </is>
      </c>
    </row>
    <row r="49">
      <c r="A49" t="n">
        <v>42</v>
      </c>
      <c r="B49" t="inlineStr">
        <is>
          <t>sheets exist for electrical</t>
        </is>
      </c>
      <c r="C49" s="88" t="inlineStr">
        <is>
          <t>PASS</t>
        </is>
      </c>
    </row>
    <row r="50">
      <c r="A50" t="n">
        <v>43</v>
      </c>
      <c r="B50" t="inlineStr">
        <is>
          <t>electrical: backup row count == takeoff (7 vs 7)</t>
        </is>
      </c>
      <c r="C50" s="88" t="inlineStr">
        <is>
          <t>PASS</t>
        </is>
      </c>
    </row>
    <row r="51">
      <c r="A51" t="n">
        <v>44</v>
      </c>
      <c r="B51" t="inlineStr">
        <is>
          <t>electrical: every Takeoff qty links Backup</t>
        </is>
      </c>
      <c r="C51" s="88" t="inlineStr">
        <is>
          <t>PASS</t>
        </is>
      </c>
    </row>
    <row r="52">
      <c r="A52" t="n">
        <v>45</v>
      </c>
      <c r="B52" t="inlineStr">
        <is>
          <t>electrical: Extended formulas intact</t>
        </is>
      </c>
      <c r="C52" s="88" t="inlineStr">
        <is>
          <t>PASS</t>
        </is>
      </c>
    </row>
    <row r="53">
      <c r="A53" t="n">
        <v>46</v>
      </c>
      <c r="B53" t="inlineStr">
        <is>
          <t>electrical: subtotal SUM present</t>
        </is>
      </c>
      <c r="C53" s="88" t="inlineStr">
        <is>
          <t>PASS</t>
        </is>
      </c>
    </row>
    <row r="54">
      <c r="A54" t="n">
        <v>47</v>
      </c>
      <c r="B54" t="inlineStr">
        <is>
          <t>sheets exist for external</t>
        </is>
      </c>
      <c r="C54" s="88" t="inlineStr">
        <is>
          <t>PASS</t>
        </is>
      </c>
    </row>
    <row r="55">
      <c r="A55" t="n">
        <v>48</v>
      </c>
      <c r="B55" t="inlineStr">
        <is>
          <t>external: backup row count == takeoff (6 vs 6)</t>
        </is>
      </c>
      <c r="C55" s="88" t="inlineStr">
        <is>
          <t>PASS</t>
        </is>
      </c>
    </row>
    <row r="56">
      <c r="A56" t="n">
        <v>49</v>
      </c>
      <c r="B56" t="inlineStr">
        <is>
          <t>external: every Takeoff qty links Backup</t>
        </is>
      </c>
      <c r="C56" s="88" t="inlineStr">
        <is>
          <t>PASS</t>
        </is>
      </c>
    </row>
    <row r="57">
      <c r="A57" t="n">
        <v>50</v>
      </c>
      <c r="B57" t="inlineStr">
        <is>
          <t>external: Extended formulas intact</t>
        </is>
      </c>
      <c r="C57" s="88" t="inlineStr">
        <is>
          <t>PASS</t>
        </is>
      </c>
    </row>
    <row r="58">
      <c r="A58" t="n">
        <v>51</v>
      </c>
      <c r="B58" t="inlineStr">
        <is>
          <t>external: subtotal SUM present</t>
        </is>
      </c>
      <c r="C58" s="88" t="inlineStr">
        <is>
          <t>PASS</t>
        </is>
      </c>
    </row>
    <row r="59">
      <c r="A59" t="n">
        <v>52</v>
      </c>
      <c r="B59" t="inlineStr">
        <is>
          <t>sheets exist for preliminaries</t>
        </is>
      </c>
      <c r="C59" s="88" t="inlineStr">
        <is>
          <t>PASS</t>
        </is>
      </c>
    </row>
    <row r="60">
      <c r="A60" t="n">
        <v>53</v>
      </c>
      <c r="B60" t="inlineStr">
        <is>
          <t>preliminaries: backup row count == takeoff (1 vs 1)</t>
        </is>
      </c>
      <c r="C60" s="88" t="inlineStr">
        <is>
          <t>PASS</t>
        </is>
      </c>
    </row>
    <row r="61">
      <c r="A61" t="n">
        <v>54</v>
      </c>
      <c r="B61" t="inlineStr">
        <is>
          <t>preliminaries: every Takeoff qty links Backup</t>
        </is>
      </c>
      <c r="C61" s="88" t="inlineStr">
        <is>
          <t>PASS</t>
        </is>
      </c>
    </row>
    <row r="62">
      <c r="A62" t="n">
        <v>55</v>
      </c>
      <c r="B62" t="inlineStr">
        <is>
          <t>preliminaries: Extended formulas intact</t>
        </is>
      </c>
      <c r="C62" s="88" t="inlineStr">
        <is>
          <t>PASS</t>
        </is>
      </c>
    </row>
    <row r="63">
      <c r="A63" t="n">
        <v>56</v>
      </c>
      <c r="B63" t="inlineStr">
        <is>
          <t>preliminaries: subtotal SUM present</t>
        </is>
      </c>
      <c r="C63" s="88" t="inlineStr">
        <is>
          <t>PASS</t>
        </is>
      </c>
    </row>
    <row r="64">
      <c r="A64" t="n">
        <v>57</v>
      </c>
      <c r="B64" t="inlineStr">
        <is>
          <t>defined name OVERHEAD exists</t>
        </is>
      </c>
      <c r="C64" s="88" t="inlineStr">
        <is>
          <t>PASS</t>
        </is>
      </c>
    </row>
    <row r="65">
      <c r="A65" t="n">
        <v>58</v>
      </c>
      <c r="B65" t="inlineStr">
        <is>
          <t>defined name TAXRATE exists</t>
        </is>
      </c>
      <c r="C65" s="88" t="inlineStr">
        <is>
          <t>PASS</t>
        </is>
      </c>
    </row>
    <row r="66">
      <c r="A66" t="n">
        <v>59</v>
      </c>
      <c r="B66" t="inlineStr">
        <is>
          <t>defined name MATMARKUP exists</t>
        </is>
      </c>
      <c r="C66" s="88" t="inlineStr">
        <is>
          <t>PASS</t>
        </is>
      </c>
    </row>
    <row r="67">
      <c r="A67" t="n">
        <v>60</v>
      </c>
      <c r="B67" t="inlineStr">
        <is>
          <t>defined name LABMARKUP exists</t>
        </is>
      </c>
      <c r="C67" s="88" t="inlineStr">
        <is>
          <t>PASS</t>
        </is>
      </c>
    </row>
    <row r="68">
      <c r="A68" t="n">
        <v>61</v>
      </c>
      <c r="B68" t="inlineStr">
        <is>
          <t>defined name GCMARKUP exists</t>
        </is>
      </c>
      <c r="C68" s="88" t="inlineStr">
        <is>
          <t>PASS</t>
        </is>
      </c>
    </row>
    <row r="69">
      <c r="A69" t="n">
        <v>62</v>
      </c>
      <c r="B69" t="inlineStr">
        <is>
          <t>defined name MATLOSS exists</t>
        </is>
      </c>
      <c r="C69" s="88" t="inlineStr">
        <is>
          <t>PASS</t>
        </is>
      </c>
    </row>
    <row r="70">
      <c r="A70" t="n">
        <v>63</v>
      </c>
      <c r="B70" t="inlineStr">
        <is>
          <t>Quote Summary exists</t>
        </is>
      </c>
      <c r="C70" s="88" t="inlineStr">
        <is>
          <t>PASS</t>
        </is>
      </c>
    </row>
    <row r="71">
      <c r="A71" t="n">
        <v>64</v>
      </c>
      <c r="B71" t="inlineStr">
        <is>
          <t>Quote Summary references structural</t>
        </is>
      </c>
      <c r="C71" s="88" t="inlineStr">
        <is>
          <t>PASS</t>
        </is>
      </c>
    </row>
    <row r="72">
      <c r="A72" t="n">
        <v>65</v>
      </c>
      <c r="B72" t="inlineStr">
        <is>
          <t>Quote Summary references architectural</t>
        </is>
      </c>
      <c r="C72" s="88" t="inlineStr">
        <is>
          <t>PASS</t>
        </is>
      </c>
    </row>
    <row r="73">
      <c r="A73" t="n">
        <v>66</v>
      </c>
      <c r="B73" t="inlineStr">
        <is>
          <t>Quote Summary references interior</t>
        </is>
      </c>
      <c r="C73" s="88" t="inlineStr">
        <is>
          <t>PASS</t>
        </is>
      </c>
    </row>
    <row r="74">
      <c r="A74" t="n">
        <v>67</v>
      </c>
      <c r="B74" t="inlineStr">
        <is>
          <t>Quote Summary references plumbing</t>
        </is>
      </c>
      <c r="C74" s="88" t="inlineStr">
        <is>
          <t>PASS</t>
        </is>
      </c>
    </row>
    <row r="75">
      <c r="A75" t="n">
        <v>68</v>
      </c>
      <c r="B75" t="inlineStr">
        <is>
          <t>Quote Summary references hvac</t>
        </is>
      </c>
      <c r="C75" s="88" t="inlineStr">
        <is>
          <t>PASS</t>
        </is>
      </c>
    </row>
    <row r="76">
      <c r="A76" t="n">
        <v>69</v>
      </c>
      <c r="B76" t="inlineStr">
        <is>
          <t>Quote Summary references electrical</t>
        </is>
      </c>
      <c r="C76" s="88" t="inlineStr">
        <is>
          <t>PASS</t>
        </is>
      </c>
    </row>
    <row r="77">
      <c r="A77" t="n">
        <v>70</v>
      </c>
      <c r="B77" t="inlineStr">
        <is>
          <t>Quote Summary references external</t>
        </is>
      </c>
      <c r="C77" s="88" t="inlineStr">
        <is>
          <t>PASS</t>
        </is>
      </c>
    </row>
    <row r="78">
      <c r="A78" t="n">
        <v>71</v>
      </c>
      <c r="B78" t="inlineStr">
        <is>
          <t>Quote Summary references preliminaries</t>
        </is>
      </c>
      <c r="C78" s="88" t="inlineStr">
        <is>
          <t>PASS</t>
        </is>
      </c>
    </row>
    <row r="79">
      <c r="A79" t="n">
        <v>72</v>
      </c>
      <c r="B79" t="inlineStr">
        <is>
          <t>no quotation-styled sheets in the guideline package</t>
        </is>
      </c>
      <c r="C79" s="88" t="inlineStr">
        <is>
          <t>PASS</t>
        </is>
      </c>
    </row>
    <row r="80">
      <c r="A80" t="n">
        <v>73</v>
      </c>
      <c r="B80" t="inlineStr">
        <is>
          <t>confidence summary matches the measured takeoff data</t>
        </is>
      </c>
      <c r="C80" s="88" t="inlineStr">
        <is>
          <t>PASS</t>
        </is>
      </c>
    </row>
    <row r="81">
      <c r="A81" t="n">
        <v>74</v>
      </c>
      <c r="B81" t="inlineStr">
        <is>
          <t>price fan-out: no single rate rides 3+ items of differing size/rating undeclared</t>
        </is>
      </c>
      <c r="C81" s="88" t="inlineStr">
        <is>
          <t>PASS</t>
        </is>
      </c>
    </row>
    <row r="82">
      <c r="A82" t="n">
        <v>75</v>
      </c>
      <c r="B82" t="inlineStr">
        <is>
          <t>every baseline price has a resolvable source code</t>
        </is>
      </c>
      <c r="C82" s="88" t="inlineStr">
        <is>
          <t>PASS</t>
        </is>
      </c>
    </row>
    <row r="83">
      <c r="A83" t="n">
        <v>76</v>
      </c>
      <c r="B83" t="inlineStr">
        <is>
          <t>every pricing source carries a date</t>
        </is>
      </c>
      <c r="C83" s="88" t="inlineStr">
        <is>
          <t>PASS</t>
        </is>
      </c>
    </row>
    <row r="84">
      <c r="A84" t="n">
        <v>77</v>
      </c>
      <c r="B84" t="inlineStr">
        <is>
          <t>Pricing Basis sheet exists</t>
        </is>
      </c>
      <c r="C84" s="88" t="inlineStr">
        <is>
          <t>PASS</t>
        </is>
      </c>
    </row>
    <row r="85">
      <c r="A85" t="n">
        <v>78</v>
      </c>
      <c r="B85" t="inlineStr">
        <is>
          <t>all source codes surfaced on Pricing Basis sheet</t>
        </is>
      </c>
      <c r="C85" s="88" t="inlineStr">
        <is>
          <t>PASS</t>
        </is>
      </c>
    </row>
    <row r="86">
      <c r="A86" t="n">
        <v>79</v>
      </c>
      <c r="B86" t="inlineStr">
        <is>
          <t>no internal file/process references in client workbook</t>
        </is>
      </c>
      <c r="C86" s="88" t="inlineStr">
        <is>
          <t>PASS</t>
        </is>
      </c>
    </row>
    <row r="87">
      <c r="A87" t="n">
        <v>80</v>
      </c>
      <c r="B87" t="inlineStr">
        <is>
          <t>no cross-references to other unrelated project names</t>
        </is>
      </c>
      <c r="C87" s="88" t="inlineStr">
        <is>
          <t>PASS</t>
        </is>
      </c>
    </row>
    <row r="88">
      <c r="A88" t="n">
        <v>81</v>
      </c>
      <c r="B88" t="inlineStr">
        <is>
          <t>no internal internal process language in client workbook</t>
        </is>
      </c>
      <c r="C88" s="88" t="inlineStr">
        <is>
          <t>PASS</t>
        </is>
      </c>
    </row>
    <row r="89">
      <c r="A89" t="n">
        <v>82</v>
      </c>
      <c r="B89" t="inlineStr">
        <is>
          <t>no internal agent-name cross-references in client workbook</t>
        </is>
      </c>
      <c r="C89" s="88" t="inlineStr">
        <is>
          <t>PASS</t>
        </is>
      </c>
    </row>
    <row r="90">
      <c r="A90" t="n">
        <v>83</v>
      </c>
      <c r="B90" t="inlineStr">
        <is>
          <t>no Thai/legacy strings</t>
        </is>
      </c>
      <c r="C90" s="88" t="inlineStr">
        <is>
          <t>PASS</t>
        </is>
      </c>
    </row>
    <row r="91">
      <c r="A91" t="n">
        <v>84</v>
      </c>
      <c r="B91" t="inlineStr">
        <is>
          <t>no licensed-practice or accuracy-guarantee claims</t>
        </is>
      </c>
      <c r="C91" s="88" t="inlineStr">
        <is>
          <t>PASS</t>
        </is>
      </c>
    </row>
    <row r="92">
      <c r="A92" t="n">
        <v>85</v>
      </c>
      <c r="B92" t="inlineStr">
        <is>
          <t>no raw Python dict-repr text in client workbook</t>
        </is>
      </c>
      <c r="C92" s="88" t="inlineStr">
        <is>
          <t>PASS</t>
        </is>
      </c>
    </row>
    <row r="93">
      <c r="A93" t="n">
        <v>86</v>
      </c>
      <c r="B93" t="inlineStr">
        <is>
          <t>print setup on all sheets</t>
        </is>
      </c>
      <c r="C93" s="88" t="inlineStr">
        <is>
          <t>PASS</t>
        </is>
      </c>
    </row>
    <row r="94"/>
    <row r="95">
      <c r="A95" t="inlineStr">
        <is>
          <t>Verified 30 Aug 2026 13:50 — 86 checks, 0 failures. Gate: automated verifier (tools-qa), result ALL PASS.</t>
        </is>
      </c>
    </row>
  </sheetData>
  <sheetProtection selectLockedCells="1" selectUnlockedCells="1" sheet="1" objects="0" insertRows="1" insertHyperlinks="1" autoFilter="1" scenarios="0" formatColumns="1" deleteColumns="1" insertColumns="1" pivotTables="1" deleteRows="1" formatCells="1" formatRows="1" sort="1"/>
  <mergeCells count="1">
    <mergeCell ref="A3:D5"/>
  </mergeCells>
  <pageMargins left="0.75" right="0.75" top="1" bottom="1" header="0.5" footer="0.5"/>
  <pageSetup fitToWidth="1"/>
  <headerFooter>
    <oddHeader>&amp;C&amp;9 &amp;K8A6D00SAMPLE — FOR EVALUATION ONLY, NOT FOR BID — rates removed; the delivered workbook arrives with an indicative rate wherever we hold a published one</oddHeader>
    <oddFooter/>
    <evenHeader>&amp;CSAMPLE — FOR EVALUATION ONLY, NOT FOR BID — rates removed; the delivered workbook arrives with an indicative rate wherever we hold a published one</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E47"/>
  <sheetViews>
    <sheetView workbookViewId="0">
      <selection activeCell="A1" sqref="A1"/>
    </sheetView>
  </sheetViews>
  <sheetFormatPr baseColWidth="8" defaultRowHeight="15"/>
  <cols>
    <col width="40" customWidth="1" min="1" max="1"/>
    <col width="22" customWidth="1" min="2" max="2"/>
    <col width="18" customWidth="1" min="3" max="3"/>
    <col width="30" customWidth="1" min="4" max="4"/>
  </cols>
  <sheetData>
    <row r="1">
      <c r="A1" s="20" t="inlineStr">
        <is>
          <t>Executive Dashboard — dt-demo-maple-hall</t>
        </is>
      </c>
    </row>
    <row r="2">
      <c r="A2" s="21" t="inlineStr">
        <is>
          <t>Prepared 30 Aug 2026 — every figure links live to your entries; change a yellow cell anywhere and this page updates itself.</t>
        </is>
      </c>
    </row>
    <row r="3"/>
    <row r="4">
      <c r="A4" s="16" t="inlineStr">
        <is>
          <t>KPI</t>
        </is>
      </c>
      <c r="B4" s="16" t="inlineStr">
        <is>
          <t>Value</t>
        </is>
      </c>
    </row>
    <row r="5">
      <c r="A5" s="18" t="inlineStr">
        <is>
          <t>Line items (base bid)</t>
        </is>
      </c>
      <c r="B5" s="18" t="inlineStr">
        <is>
          <t>52</t>
        </is>
      </c>
    </row>
    <row r="6">
      <c r="A6" s="18" t="inlineStr">
        <is>
          <t>Trades</t>
        </is>
      </c>
      <c r="B6" s="18" t="inlineStr">
        <is>
          <t>Structural, Architectural, Interior, Plumbing, HVAC, Electrical, External, Preliminaries</t>
        </is>
      </c>
    </row>
    <row r="7">
      <c r="A7" s="18" t="inlineStr">
        <is>
          <t>Alternate items (separate sheet)</t>
        </is>
      </c>
      <c r="B7" s="18" t="inlineStr">
        <is>
          <t>0</t>
        </is>
      </c>
    </row>
    <row r="8">
      <c r="A8" s="18" t="inlineStr">
        <is>
          <t>Items with drawing reference</t>
        </is>
      </c>
      <c r="B8" s="18" t="inlineStr">
        <is>
          <t>51 / 52</t>
        </is>
      </c>
    </row>
    <row r="9"/>
    <row r="10">
      <c r="A10" s="22" t="inlineStr">
        <is>
          <t>YOUR QUOTE AT A GLANCE (fills in as you price)</t>
        </is>
      </c>
    </row>
    <row r="11">
      <c r="A11" s="23" t="inlineStr">
        <is>
          <t>Selling price (before tax)</t>
        </is>
      </c>
      <c r="B11" s="24">
        <f>'Quote Summary'!C17</f>
        <v/>
      </c>
    </row>
    <row r="12">
      <c r="A12" s="23" t="inlineStr">
        <is>
          <t>Sales Tax</t>
        </is>
      </c>
      <c r="B12" s="24">
        <f>'Quote Summary'!C18</f>
        <v/>
      </c>
    </row>
    <row r="13">
      <c r="A13" s="25" t="inlineStr">
        <is>
          <t>NET SELLING PRICE (incl. tax)</t>
        </is>
      </c>
      <c r="B13" s="26">
        <f>'Quote Summary'!C19</f>
        <v/>
      </c>
    </row>
    <row r="14">
      <c r="A14" s="23" t="inlineStr">
        <is>
          <t>Total cost (direct + indirect + overhead)</t>
        </is>
      </c>
      <c r="B14" s="24">
        <f>'Quote Summary'!B17</f>
        <v/>
      </c>
    </row>
    <row r="15">
      <c r="A15" s="25" t="inlineStr">
        <is>
          <t>PROJECTED PROFIT (before tax)</t>
        </is>
      </c>
      <c r="B15" s="26">
        <f>'Quote Summary'!D20</f>
        <v/>
      </c>
    </row>
    <row r="16">
      <c r="A16" s="18" t="inlineStr">
        <is>
          <t>Projected margin % of selling</t>
        </is>
      </c>
      <c r="B16" s="27">
        <f>IF(N(B11)=0,"—",B15/B11)</f>
        <v/>
      </c>
    </row>
    <row r="17"/>
    <row r="18">
      <c r="A18" s="25" t="inlineStr">
        <is>
          <t>Direct cost by trade (fills in as you price)</t>
        </is>
      </c>
    </row>
    <row r="19">
      <c r="A19" s="18" t="inlineStr">
        <is>
          <t>Structural</t>
        </is>
      </c>
      <c r="B19" s="24">
        <f>'Takeoff-Structural'!G9</f>
        <v/>
      </c>
    </row>
    <row r="20">
      <c r="A20" s="18" t="inlineStr">
        <is>
          <t>Architectural</t>
        </is>
      </c>
      <c r="B20" s="24">
        <f>'Takeoff-Architectural'!G18</f>
        <v/>
      </c>
    </row>
    <row r="21">
      <c r="A21" s="18" t="inlineStr">
        <is>
          <t>Interior</t>
        </is>
      </c>
      <c r="B21" s="24">
        <f>'Takeoff-Interior'!G15</f>
        <v/>
      </c>
    </row>
    <row r="22">
      <c r="A22" s="18" t="inlineStr">
        <is>
          <t>Plumbing</t>
        </is>
      </c>
      <c r="B22" s="24">
        <f>'Takeoff-Plumbing'!G9</f>
        <v/>
      </c>
    </row>
    <row r="23">
      <c r="A23" s="18" t="inlineStr">
        <is>
          <t>HVAC</t>
        </is>
      </c>
      <c r="B23" s="24">
        <f>'Takeoff-HVAC'!G7</f>
        <v/>
      </c>
    </row>
    <row r="24">
      <c r="A24" s="18" t="inlineStr">
        <is>
          <t>Electrical</t>
        </is>
      </c>
      <c r="B24" s="24">
        <f>'Takeoff-Electrical'!G11</f>
        <v/>
      </c>
    </row>
    <row r="25">
      <c r="A25" s="18" t="inlineStr">
        <is>
          <t>External</t>
        </is>
      </c>
      <c r="B25" s="24">
        <f>'Takeoff-External'!G10</f>
        <v/>
      </c>
    </row>
    <row r="26">
      <c r="A26" s="18" t="inlineStr">
        <is>
          <t>Preliminaries</t>
        </is>
      </c>
      <c r="B26" s="24">
        <f>'Takeoff-Preliminaries'!G5</f>
        <v/>
      </c>
    </row>
    <row r="27"/>
    <row r="28">
      <c r="A28" s="28" t="inlineStr">
        <is>
          <t>INDICATIVE PROJECT RANGE — reference only, NOT a quote</t>
        </is>
      </c>
    </row>
    <row r="29">
      <c r="A29" s="18" t="inlineStr">
        <is>
          <t>Baseline low (sum of blue reference columns x qty)</t>
        </is>
      </c>
      <c r="B29" s="29">
        <f>'Takeoff-Structural'!P9+'Takeoff-Architectural'!P18+'Takeoff-Interior'!P15+'Takeoff-Plumbing'!P9+'Takeoff-HVAC'!P7+'Takeoff-Electrical'!P11+'Takeoff-External'!P10+'Takeoff-Preliminaries'!P5</f>
        <v/>
      </c>
    </row>
    <row r="30">
      <c r="A30" s="18" t="inlineStr">
        <is>
          <t>Baseline high</t>
        </is>
      </c>
      <c r="B30" s="29">
        <f>'Takeoff-Structural'!Q9+'Takeoff-Architectural'!Q18+'Takeoff-Interior'!Q15+'Takeoff-Plumbing'!Q9+'Takeoff-HVAC'!Q7+'Takeoff-Electrical'!Q11+'Takeoff-External'!Q10+'Takeoff-Preliminaries'!Q5</f>
        <v/>
      </c>
    </row>
    <row r="31">
      <c r="A31" s="30" t="inlineStr">
        <is>
          <t>Basis: source-coded baseline prices (see Pricing Basis sheet), quantities from this takeoff. Excludes overhead/markup/tax and all listed exclusions. Your own subcontractor pricing in the yellow cells always supersedes this range.</t>
        </is>
      </c>
      <c r="B31" s="31" t="n"/>
    </row>
    <row r="32">
      <c r="A32" s="32" t="n"/>
      <c r="B32" s="33" t="n"/>
    </row>
    <row r="33">
      <c r="A33" s="22" t="inlineStr">
        <is>
          <t>SANITY-CHECK RATIOS — flags to investigate before you commit</t>
        </is>
      </c>
    </row>
    <row r="34">
      <c r="A34" s="16" t="inlineStr">
        <is>
          <t>Metric</t>
        </is>
      </c>
      <c r="B34" s="16" t="inlineStr">
        <is>
          <t>This project</t>
        </is>
      </c>
      <c r="C34" s="16" t="inlineStr">
        <is>
          <t>Typical band</t>
        </is>
      </c>
      <c r="D34" s="16" t="inlineStr">
        <is>
          <t>Status</t>
        </is>
      </c>
    </row>
    <row r="35">
      <c r="A35" s="18" t="inlineStr">
        <is>
          <t>Lines priced below cost (profit &lt; 0)</t>
        </is>
      </c>
      <c r="B35" s="34">
        <f>IF(SUM(B19:B26)=0,"—",COUNTIF('Takeoff-Structural'!O4:O8,"&lt;0")+COUNTIF('Takeoff-Architectural'!O4:O17,"&lt;0")+COUNTIF('Takeoff-Interior'!O4:O14,"&lt;0")+COUNTIF('Takeoff-Plumbing'!O4:O8,"&lt;0")+COUNTIF('Takeoff-HVAC'!O4:O6,"&lt;0")+COUNTIF('Takeoff-Electrical'!O4:O10,"&lt;0")+COUNTIF('Takeoff-External'!O4:O9,"&lt;0")+COUNTIF('Takeoff-Preliminaries'!O4:O4,"&lt;0"))</f>
        <v/>
      </c>
      <c r="C35" s="17" t="inlineStr">
        <is>
          <t>0 (none expected)</t>
        </is>
      </c>
      <c r="D35" s="18">
        <f>IF(NOT(ISNUMBER(B35)),"PENDING — price first",IF(AND(B35&gt;=0,B35&lt;=0),"OK — typical","CHECK — outside typical band"))</f>
        <v/>
      </c>
      <c r="E35" s="18" t="inlineStr">
        <is>
          <t>K014-style price-check flag: any line selling below cost needs a deliberate reason</t>
        </is>
      </c>
    </row>
    <row r="36">
      <c r="A36" s="18" t="inlineStr">
        <is>
          <t>Labor share of direct cost</t>
        </is>
      </c>
      <c r="B36" s="35">
        <f>IF(SUM(B19:B26)=0,"—",(SUMPRODUCT('Takeoff-Structural'!D4:D8,'Takeoff-Structural'!F4:F8)+SUMPRODUCT('Takeoff-Architectural'!D4:D17,'Takeoff-Architectural'!F4:F17)+SUMPRODUCT('Takeoff-Interior'!D4:D14,'Takeoff-Interior'!F4:F14)+SUMPRODUCT('Takeoff-Plumbing'!D4:D8,'Takeoff-Plumbing'!F4:F8)+SUMPRODUCT('Takeoff-HVAC'!D4:D6,'Takeoff-HVAC'!F4:F6)+SUMPRODUCT('Takeoff-Electrical'!D4:D10,'Takeoff-Electrical'!F4:F10)+SUMPRODUCT('Takeoff-External'!D4:D9,'Takeoff-External'!F4:F9)+SUMPRODUCT('Takeoff-Preliminaries'!D4:D4,'Takeoff-Preliminaries'!F4:F4))/SUM(B19:B26))</f>
        <v/>
      </c>
      <c r="C36" s="17" t="inlineStr">
        <is>
          <t>22%–42%</t>
        </is>
      </c>
      <c r="D36" s="18">
        <f>IF(NOT(ISNUMBER(B36)),"PENDING — price first",IF(AND(B36&gt;=0.22,B36&lt;=0.42),"OK — typical","CHECK — outside typical band"))</f>
        <v/>
      </c>
      <c r="E36" s="18" t="inlineStr">
        <is>
          <t>Labor:material near 30:70 is common for general building work</t>
        </is>
      </c>
    </row>
    <row r="37">
      <c r="A37" s="18" t="inlineStr">
        <is>
          <t>Indirect / direct cost</t>
        </is>
      </c>
      <c r="B37" s="35">
        <f>IF(SUM(B19:B26)=0,"—",'Indirect Cost'!D24/SUM(B19:B26))</f>
        <v/>
      </c>
      <c r="C37" s="17" t="inlineStr">
        <is>
          <t>8%–18%</t>
        </is>
      </c>
      <c r="D37" s="18">
        <f>IF(NOT(ISNUMBER(B37)),"PENDING — price first",IF(AND(B37&gt;=0.08,B37&lt;=0.18),"OK — typical","CHECK — outside typical band"))</f>
        <v/>
      </c>
      <c r="E37" s="18" t="inlineStr">
        <is>
          <t>General conditions typically 8-18% of direct</t>
        </is>
      </c>
    </row>
    <row r="38">
      <c r="A38" s="18" t="inlineStr">
        <is>
          <t>Gross margin % of selling</t>
        </is>
      </c>
      <c r="B38" s="35">
        <f>IF(N(B11)=0,"—",B15/B11)</f>
        <v/>
      </c>
      <c r="C38" s="17" t="inlineStr">
        <is>
          <t>12%–22%</t>
        </is>
      </c>
      <c r="D38" s="18">
        <f>IF(NOT(ISNUMBER(B38)),"PENDING — price first",IF(AND(B38&gt;=0.12,B38&lt;=0.22),"OK — typical","CHECK — outside typical band"))</f>
        <v/>
      </c>
      <c r="E38" s="18" t="inlineStr">
        <is>
          <t>Checks your embedded margin against a typical band — separate from quantity checks</t>
        </is>
      </c>
    </row>
    <row r="39">
      <c r="A39" s="30" t="inlineStr">
        <is>
          <t>Bands are broad general-building norms — a CHECK flag is a prompt to look, not proof of an error. Quantity-level confidence lives in the Confidence Report.</t>
        </is>
      </c>
      <c r="B39" s="36" t="n"/>
      <c r="C39" s="36" t="n"/>
      <c r="D39" s="36" t="n"/>
      <c r="E39" s="37" t="n"/>
    </row>
    <row r="40"/>
    <row r="41">
      <c r="A41" s="25" t="inlineStr">
        <is>
          <t>How to read this workbook (executive notes)</t>
        </is>
      </c>
    </row>
    <row r="42">
      <c r="A42" s="18" t="inlineStr">
        <is>
          <t>• Selling price = your unit costs + your per-line markups (Takeoff sheets) + general conditions + overhead + tax.</t>
        </is>
      </c>
      <c r="B42" s="36" t="n"/>
      <c r="C42" s="36" t="n"/>
      <c r="D42" s="36" t="n"/>
      <c r="E42" s="37" t="n"/>
    </row>
    <row r="43">
      <c r="A43" s="18" t="inlineStr">
        <is>
          <t>• Profit shows in two places: per line on each Takeoff sheet, and rolled up on the Quote Summary.</t>
        </is>
      </c>
      <c r="B43" s="36" t="n"/>
      <c r="C43" s="36" t="n"/>
      <c r="D43" s="36" t="n"/>
      <c r="E43" s="37" t="n"/>
    </row>
    <row r="44">
      <c r="A44" s="18" t="inlineStr">
        <is>
          <t>• Indirect cost lives on its own sheet, never mixed into direct trades — the cost picture stays honest.</t>
        </is>
      </c>
      <c r="B44" s="36" t="n"/>
      <c r="C44" s="36" t="n"/>
      <c r="D44" s="36" t="n"/>
      <c r="E44" s="37" t="n"/>
    </row>
    <row r="45">
      <c r="A45" s="18" t="inlineStr">
        <is>
          <t>• This is a guideline package, not a bid document: it deliberately contains no quotation or client bill sheets — every price here is a reference band for YOUR estimating, never an offer.</t>
        </is>
      </c>
      <c r="B45" s="36" t="n"/>
      <c r="C45" s="36" t="n"/>
      <c r="D45" s="36" t="n"/>
      <c r="E45" s="37" t="n"/>
    </row>
    <row r="46">
      <c r="A46" s="18" t="inlineStr">
        <is>
          <t>• Check the Confidence Report before committing: it lists exactly which quantities to verify first.</t>
        </is>
      </c>
      <c r="B46" s="36" t="n"/>
      <c r="C46" s="36" t="n"/>
      <c r="D46" s="36" t="n"/>
      <c r="E46" s="37" t="n"/>
    </row>
    <row r="47">
      <c r="A47" s="18" t="inlineStr">
        <is>
          <t>• ORANGE unit-cost cells on the Takeoff sheets are OUR placeholder estimate, not a verified quote — see Pricing Basis for how they're derived. Replace them with your own local pricing.</t>
        </is>
      </c>
      <c r="B47" s="36" t="n"/>
      <c r="C47" s="36" t="n"/>
      <c r="D47" s="36" t="n"/>
      <c r="E47" s="37" t="n"/>
    </row>
  </sheetData>
  <sheetProtection selectLockedCells="1" selectUnlockedCells="1" sheet="1" objects="0" insertRows="1" insertHyperlinks="1" autoFilter="1" scenarios="0" formatColumns="1" deleteColumns="1" insertColumns="1" pivotTables="1" deleteRows="1" formatCells="1" formatRows="1" sort="1"/>
  <mergeCells count="8">
    <mergeCell ref="A39:E39"/>
    <mergeCell ref="A43:E43"/>
    <mergeCell ref="A42:E42"/>
    <mergeCell ref="A31:B32"/>
    <mergeCell ref="A47:E47"/>
    <mergeCell ref="A45:E45"/>
    <mergeCell ref="A46:E46"/>
    <mergeCell ref="A44:E44"/>
  </mergeCells>
  <conditionalFormatting sqref="D35">
    <cfRule type="expression" priority="1" dxfId="0">
      <formula>ISNUMBER(SEARCH("OK",D35))</formula>
    </cfRule>
    <cfRule type="expression" priority="2" dxfId="1">
      <formula>ISNUMBER(SEARCH("CHECK",D35))</formula>
    </cfRule>
  </conditionalFormatting>
  <conditionalFormatting sqref="D36">
    <cfRule type="expression" priority="3" dxfId="0">
      <formula>ISNUMBER(SEARCH("OK",D36))</formula>
    </cfRule>
    <cfRule type="expression" priority="4" dxfId="1">
      <formula>ISNUMBER(SEARCH("CHECK",D36))</formula>
    </cfRule>
  </conditionalFormatting>
  <conditionalFormatting sqref="D37">
    <cfRule type="expression" priority="5" dxfId="0">
      <formula>ISNUMBER(SEARCH("OK",D37))</formula>
    </cfRule>
    <cfRule type="expression" priority="6" dxfId="1">
      <formula>ISNUMBER(SEARCH("CHECK",D37))</formula>
    </cfRule>
  </conditionalFormatting>
  <conditionalFormatting sqref="D38">
    <cfRule type="expression" priority="7" dxfId="0">
      <formula>ISNUMBER(SEARCH("OK",D38))</formula>
    </cfRule>
    <cfRule type="expression" priority="8" dxfId="1">
      <formula>ISNUMBER(SEARCH("CHECK",D38))</formula>
    </cfRule>
  </conditionalFormatting>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B16"/>
  <sheetViews>
    <sheetView workbookViewId="0">
      <selection activeCell="A1" sqref="A1"/>
    </sheetView>
  </sheetViews>
  <sheetFormatPr baseColWidth="8" defaultRowHeight="15"/>
  <cols>
    <col width="34" customWidth="1" min="1" max="1"/>
    <col width="16" customWidth="1" min="2" max="2"/>
  </cols>
  <sheetData>
    <row r="1">
      <c r="A1" s="20" t="inlineStr">
        <is>
          <t>Settings — change once, flows everywhere</t>
        </is>
      </c>
    </row>
    <row r="2"/>
    <row r="3">
      <c r="A3" s="3" t="inlineStr">
        <is>
          <t>Material waste / loss %</t>
        </is>
      </c>
      <c r="B3" s="38" t="n">
        <v>0.03</v>
      </c>
    </row>
    <row r="4">
      <c r="A4" s="3" t="inlineStr">
        <is>
          <t>Material markup / profit %</t>
        </is>
      </c>
      <c r="B4" s="38" t="n">
        <v>0.1</v>
      </c>
    </row>
    <row r="5">
      <c r="A5" s="3" t="inlineStr">
        <is>
          <t>Labor markup / profit %</t>
        </is>
      </c>
      <c r="B5" s="38" t="n">
        <v>0.1</v>
      </c>
    </row>
    <row r="6">
      <c r="A6" s="3" t="inlineStr">
        <is>
          <t>Prevailing-wage labor factor (× labor rate; 1.00 = private work)</t>
        </is>
      </c>
      <c r="B6" s="39" t="n">
        <v>1</v>
      </c>
    </row>
    <row r="7">
      <c r="A7" s="3" t="inlineStr">
        <is>
          <t>Site/difficulty labor factor (P-405 DF; 1.00 = average conditions)</t>
        </is>
      </c>
      <c r="B7" s="39" t="n">
        <v>1</v>
      </c>
    </row>
    <row r="8">
      <c r="A8" s="3" t="inlineStr">
        <is>
          <t>General-conditions markup %</t>
        </is>
      </c>
      <c r="B8" s="38" t="n">
        <v>0.1</v>
      </c>
    </row>
    <row r="9">
      <c r="A9" s="3" t="inlineStr">
        <is>
          <t>Overhead (General &amp; Admin) %</t>
        </is>
      </c>
      <c r="B9" s="38" t="n">
        <v>0.08</v>
      </c>
    </row>
    <row r="10">
      <c r="A10" s="3" t="inlineStr">
        <is>
          <t>Sales Tax %</t>
        </is>
      </c>
      <c r="B10" s="38" t="n">
        <v>0</v>
      </c>
    </row>
    <row r="11">
      <c r="A11" s="3" t="inlineStr">
        <is>
          <t>Currency</t>
        </is>
      </c>
      <c r="B11" t="inlineStr">
        <is>
          <t>USD</t>
        </is>
      </c>
    </row>
    <row r="12">
      <c r="A12" s="3" t="inlineStr">
        <is>
          <t>Units</t>
        </is>
      </c>
      <c r="B12" t="inlineStr">
        <is>
          <t>Imperial (with metric mirror)</t>
        </is>
      </c>
    </row>
    <row r="13">
      <c r="A13" s="21" t="inlineStr">
        <is>
          <t>Prevailing-wage factor: baseline labor rates assume PRIVATE work — on a public job set your local prevailing-to-private ratio. Site/difficulty factor: P-405 Table 4-1 delay factor for cramped, occupied or otherwise hard sites (see Confidence Report). Both scale labor only — never material or equipment rentals.</t>
        </is>
      </c>
    </row>
    <row r="14"/>
    <row r="15">
      <c r="A15" t="inlineStr">
        <is>
          <t>Yellow cells are yours to edit. Everything recalculates automatically.</t>
        </is>
      </c>
    </row>
    <row r="16">
      <c r="A16" t="inlineStr">
        <is>
          <t>Markups feed the SELLING-PRICE columns on each Takeoff sheet and the Quote Summary. This workbook is a guideline package — it contains no client-facing quotation set; every sheet here is your own internal working file.</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D24"/>
  <sheetViews>
    <sheetView workbookViewId="0">
      <selection activeCell="A1" sqref="A1"/>
    </sheetView>
  </sheetViews>
  <sheetFormatPr baseColWidth="8" defaultRowHeight="15"/>
  <cols>
    <col width="46" customWidth="1" min="1" max="1"/>
    <col width="18" customWidth="1" min="2" max="2"/>
    <col width="18" customWidth="1" min="3" max="3"/>
    <col width="18" customWidth="1" min="4" max="4"/>
  </cols>
  <sheetData>
    <row r="1">
      <c r="A1" s="1" t="inlineStr">
        <is>
          <t>QUOTE SUMMARY — YOUR cost vs YOUR selling price (do not send this sheet to your client)</t>
        </is>
      </c>
    </row>
    <row r="2">
      <c r="A2" s="21" t="inlineStr">
        <is>
          <t>dt-demo-maple-hall</t>
        </is>
      </c>
    </row>
    <row r="3">
      <c r="A3" t="inlineStr">
        <is>
          <t>Prepared for: Client    |    Date: 30 Aug 2026    |    Basis: see Confidence Report</t>
        </is>
      </c>
    </row>
    <row r="4"/>
    <row r="5">
      <c r="A5" s="16" t="inlineStr">
        <is>
          <t>Line</t>
        </is>
      </c>
      <c r="B5" s="16" t="inlineStr">
        <is>
          <t>Cost (USD)</t>
        </is>
      </c>
      <c r="C5" s="16" t="inlineStr">
        <is>
          <t>Selling (USD)</t>
        </is>
      </c>
      <c r="D5" s="16" t="inlineStr">
        <is>
          <t>Profit (USD)</t>
        </is>
      </c>
    </row>
    <row r="6">
      <c r="A6" s="18" t="inlineStr">
        <is>
          <t>Direct — Structural</t>
        </is>
      </c>
      <c r="B6" s="24">
        <f>'Takeoff-Structural'!G9</f>
        <v/>
      </c>
      <c r="C6" s="24">
        <f>'Takeoff-Structural'!N9</f>
        <v/>
      </c>
      <c r="D6" s="24">
        <f>'Takeoff-Structural'!O9</f>
        <v/>
      </c>
    </row>
    <row r="7">
      <c r="A7" s="18" t="inlineStr">
        <is>
          <t>Direct — Architectural</t>
        </is>
      </c>
      <c r="B7" s="24">
        <f>'Takeoff-Architectural'!G18</f>
        <v/>
      </c>
      <c r="C7" s="24">
        <f>'Takeoff-Architectural'!N18</f>
        <v/>
      </c>
      <c r="D7" s="24">
        <f>'Takeoff-Architectural'!O18</f>
        <v/>
      </c>
    </row>
    <row r="8">
      <c r="A8" s="18" t="inlineStr">
        <is>
          <t>Direct — Interior</t>
        </is>
      </c>
      <c r="B8" s="24">
        <f>'Takeoff-Interior'!G15</f>
        <v/>
      </c>
      <c r="C8" s="24">
        <f>'Takeoff-Interior'!N15</f>
        <v/>
      </c>
      <c r="D8" s="24">
        <f>'Takeoff-Interior'!O15</f>
        <v/>
      </c>
    </row>
    <row r="9">
      <c r="A9" s="18" t="inlineStr">
        <is>
          <t>Direct — Plumbing</t>
        </is>
      </c>
      <c r="B9" s="24">
        <f>'Takeoff-Plumbing'!G9</f>
        <v/>
      </c>
      <c r="C9" s="24">
        <f>'Takeoff-Plumbing'!N9</f>
        <v/>
      </c>
      <c r="D9" s="24">
        <f>'Takeoff-Plumbing'!O9</f>
        <v/>
      </c>
    </row>
    <row r="10">
      <c r="A10" s="18" t="inlineStr">
        <is>
          <t>Direct — HVAC</t>
        </is>
      </c>
      <c r="B10" s="24">
        <f>'Takeoff-HVAC'!G7</f>
        <v/>
      </c>
      <c r="C10" s="24">
        <f>'Takeoff-HVAC'!N7</f>
        <v/>
      </c>
      <c r="D10" s="24">
        <f>'Takeoff-HVAC'!O7</f>
        <v/>
      </c>
    </row>
    <row r="11">
      <c r="A11" s="18" t="inlineStr">
        <is>
          <t>Direct — Electrical</t>
        </is>
      </c>
      <c r="B11" s="24">
        <f>'Takeoff-Electrical'!G11</f>
        <v/>
      </c>
      <c r="C11" s="24">
        <f>'Takeoff-Electrical'!N11</f>
        <v/>
      </c>
      <c r="D11" s="24">
        <f>'Takeoff-Electrical'!O11</f>
        <v/>
      </c>
    </row>
    <row r="12">
      <c r="A12" s="18" t="inlineStr">
        <is>
          <t>Direct — External</t>
        </is>
      </c>
      <c r="B12" s="24">
        <f>'Takeoff-External'!G10</f>
        <v/>
      </c>
      <c r="C12" s="24">
        <f>'Takeoff-External'!N10</f>
        <v/>
      </c>
      <c r="D12" s="24">
        <f>'Takeoff-External'!O10</f>
        <v/>
      </c>
    </row>
    <row r="13">
      <c r="A13" s="18" t="inlineStr">
        <is>
          <t>Direct — Preliminaries</t>
        </is>
      </c>
      <c r="B13" s="24">
        <f>'Takeoff-Preliminaries'!G5</f>
        <v/>
      </c>
      <c r="C13" s="24">
        <f>'Takeoff-Preliminaries'!N5</f>
        <v/>
      </c>
      <c r="D13" s="24">
        <f>'Takeoff-Preliminaries'!O5</f>
        <v/>
      </c>
    </row>
    <row r="14">
      <c r="A14" s="25" t="inlineStr">
        <is>
          <t>Direct Subtotal</t>
        </is>
      </c>
      <c r="B14" s="40">
        <f>SUM(B6:B13)</f>
        <v/>
      </c>
      <c r="C14" s="40">
        <f>SUM(C6:C13)</f>
        <v/>
      </c>
      <c r="D14" s="40">
        <f>SUM(D6:D13)</f>
        <v/>
      </c>
    </row>
    <row r="15">
      <c r="A15" s="18" t="inlineStr">
        <is>
          <t>Indirect / General Conditions (selling = cost × (1+GC markup))</t>
        </is>
      </c>
      <c r="B15" s="24">
        <f>'Indirect Cost'!D24</f>
        <v/>
      </c>
      <c r="C15" s="24">
        <f>ROUND(B15*(1+GCMARKUP),2)</f>
        <v/>
      </c>
      <c r="D15" s="24">
        <f>C15-B15</f>
        <v/>
      </c>
    </row>
    <row r="16">
      <c r="A16" s="18" t="inlineStr">
        <is>
          <t>Overhead (Settings — internal cost of doing business)</t>
        </is>
      </c>
      <c r="B16" s="24">
        <f>(B14+B15)*OVERHEAD</f>
        <v/>
      </c>
    </row>
    <row r="17">
      <c r="A17" s="25" t="inlineStr">
        <is>
          <t>Subtotal before tax</t>
        </is>
      </c>
      <c r="B17" s="40">
        <f>B14+B15+B16</f>
        <v/>
      </c>
      <c r="C17" s="40">
        <f>C14+C15</f>
        <v/>
      </c>
    </row>
    <row r="18">
      <c r="A18" s="18" t="inlineStr">
        <is>
          <t>Sales Tax (on selling)</t>
        </is>
      </c>
      <c r="C18" s="24">
        <f>C17*TAXRATE</f>
        <v/>
      </c>
    </row>
    <row r="19">
      <c r="A19" s="41" t="inlineStr">
        <is>
          <t>TOTAL — YOUR PROJECTED QUOTE (incl. tax)</t>
        </is>
      </c>
      <c r="C19" s="26">
        <f>C17+C18</f>
        <v/>
      </c>
    </row>
    <row r="20">
      <c r="A20" s="41" t="inlineStr">
        <is>
          <t>PROJECTED PROFIT (selling − all costs, before tax)</t>
        </is>
      </c>
      <c r="D20" s="26">
        <f>C17-B17</f>
        <v/>
      </c>
    </row>
    <row r="21">
      <c r="A21" s="18" t="inlineStr">
        <is>
          <t>Projected margin % of selling</t>
        </is>
      </c>
      <c r="D21" s="27">
        <f>IF(C17=0,"—",D20/C17)</f>
        <v/>
      </c>
    </row>
    <row r="22"/>
    <row r="23">
      <c r="A23" t="inlineStr">
        <is>
          <t>FIRST DRAFT — a takeoff-derived quantity draft priced with YOUR unit costs/markups, with no warranty of any kind on either the quantities or the pricing. Verify against the full drawing set and apply your own contingency before bidding. Review the Confidence Report. This sheet is INTERNAL — this guideline package contains no quotation documents to hand on; produce your own bid paperwork.</t>
        </is>
      </c>
    </row>
    <row r="24">
      <c r="A24" t="inlineStr">
        <is>
          <t>Baseline reference prices exist in this workbook (blue cells + Pricing Basis sheet) but are NOT included in this quote unless you typed them into the yellow cells yourself. Every baseline carries its source and date.</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D26"/>
  <sheetViews>
    <sheetView workbookViewId="0">
      <selection activeCell="A1" sqref="A1"/>
    </sheetView>
  </sheetViews>
  <sheetFormatPr baseColWidth="8" defaultRowHeight="15"/>
  <cols>
    <col width="46" customWidth="1" min="1" max="1"/>
    <col width="18" customWidth="1" min="2" max="2"/>
    <col width="10" customWidth="1" min="3" max="3"/>
    <col width="18" customWidth="1" min="4" max="4"/>
  </cols>
  <sheetData>
    <row r="1">
      <c r="A1" s="20" t="inlineStr">
        <is>
          <t>Indirect Cost — General Conditions (edit yellow cells)</t>
        </is>
      </c>
    </row>
    <row r="2"/>
    <row r="3">
      <c r="A3" s="3" t="inlineStr">
        <is>
          <t>Estimated construction duration (months)</t>
        </is>
      </c>
      <c r="B3" s="82" t="n">
        <v>1.8</v>
      </c>
      <c r="C3" s="21" t="inlineStr">
        <is>
          <t>Pre-filled from the preliminary schedule model (see Full Package schedule-draft for the phase-by-phase basis) — a scope-size proxy, NOT a CPM schedule. Overwrite with your own scheduler's real duration if you have one.</t>
        </is>
      </c>
    </row>
    <row r="4"/>
    <row r="5">
      <c r="A5" s="16" t="inlineStr">
        <is>
          <t>Category</t>
        </is>
      </c>
      <c r="B5" s="16" t="inlineStr">
        <is>
          <t>Rate (USD)</t>
        </is>
      </c>
      <c r="C5" s="16" t="inlineStr">
        <is>
          <t>× Qty</t>
        </is>
      </c>
      <c r="D5" s="16" t="inlineStr">
        <is>
          <t>Amount (USD)</t>
        </is>
      </c>
    </row>
    <row r="6">
      <c r="A6" s="43" t="inlineStr">
        <is>
          <t>Monthly items — multiplied by duration</t>
        </is>
      </c>
    </row>
    <row r="7">
      <c r="A7" s="18" t="inlineStr">
        <is>
          <t>Project management staff (PM / site engineer / foreman / admin)</t>
        </is>
      </c>
      <c r="B7" s="44" t="n"/>
      <c r="C7" s="83">
        <f>DURATION</f>
        <v/>
      </c>
      <c r="D7" s="24">
        <f>N(B7)*C7</f>
        <v/>
      </c>
    </row>
    <row r="8">
      <c r="A8" s="18" t="inlineStr">
        <is>
          <t>Site office, storage &amp; temporary sanitation</t>
        </is>
      </c>
      <c r="B8" s="44" t="n"/>
      <c r="C8" s="83">
        <f>DURATION</f>
        <v/>
      </c>
      <c r="D8" s="24">
        <f>N(B8)*C8</f>
        <v/>
      </c>
    </row>
    <row r="9">
      <c r="A9" s="18" t="inlineStr">
        <is>
          <t>Temporary power &amp; water</t>
        </is>
      </c>
      <c r="B9" s="44" t="n"/>
      <c r="C9" s="83">
        <f>DURATION</f>
        <v/>
      </c>
      <c r="D9" s="24">
        <f>N(B9)*C9</f>
        <v/>
      </c>
    </row>
    <row r="10">
      <c r="A10" s="18" t="inlineStr">
        <is>
          <t>Site security</t>
        </is>
      </c>
      <c r="B10" s="44" t="n"/>
      <c r="C10" s="83">
        <f>DURATION</f>
        <v/>
      </c>
      <c r="D10" s="24">
        <f>N(B10)*C10</f>
        <v/>
      </c>
    </row>
    <row r="11">
      <c r="A11" s="18" t="inlineStr">
        <is>
          <t>Small tools, scaffolding, consumables &amp; PPE</t>
        </is>
      </c>
      <c r="B11" s="44" t="n"/>
      <c r="C11" s="83">
        <f>DURATION</f>
        <v/>
      </c>
      <c r="D11" s="24">
        <f>N(B11)*C11</f>
        <v/>
      </c>
    </row>
    <row r="12">
      <c r="A12" s="18" t="inlineStr">
        <is>
          <t>Site vehicles &amp; fuel</t>
        </is>
      </c>
      <c r="B12" s="44" t="n"/>
      <c r="C12" s="83">
        <f>DURATION</f>
        <v/>
      </c>
      <c r="D12" s="24">
        <f>N(B12)*C12</f>
        <v/>
      </c>
    </row>
    <row r="13">
      <c r="A13" s="18" t="inlineStr">
        <is>
          <t>Material testing &amp; inspections</t>
        </is>
      </c>
      <c r="B13" s="44" t="n"/>
      <c r="C13" s="83">
        <f>DURATION</f>
        <v/>
      </c>
      <c r="D13" s="24">
        <f>N(B13)*C13</f>
        <v/>
      </c>
    </row>
    <row r="14">
      <c r="A14" s="18" t="inlineStr">
        <is>
          <t>Cleanup &amp; dumpsters</t>
        </is>
      </c>
      <c r="B14" s="44" t="n"/>
      <c r="C14" s="83">
        <f>DURATION</f>
        <v/>
      </c>
      <c r="D14" s="24">
        <f>N(B14)*C14</f>
        <v/>
      </c>
    </row>
    <row r="15">
      <c r="A15" s="43" t="inlineStr">
        <is>
          <t>One-time items — per job, independent of duration</t>
        </is>
      </c>
    </row>
    <row r="16">
      <c r="A16" s="18" t="inlineStr">
        <is>
          <t>Project &amp; safety signage, traffic control</t>
        </is>
      </c>
      <c r="B16" s="44" t="n"/>
      <c r="C16" s="46" t="n">
        <v>1</v>
      </c>
      <c r="D16" s="24">
        <f>N(B16)*C16</f>
        <v/>
      </c>
    </row>
    <row r="17">
      <c r="A17" s="18" t="inlineStr">
        <is>
          <t>Builder's risk &amp; general liability insurance</t>
        </is>
      </c>
      <c r="B17" s="44" t="n"/>
      <c r="C17" s="46" t="n">
        <v>1</v>
      </c>
      <c r="D17" s="24">
        <f>N(B17)*C17</f>
        <v/>
      </c>
    </row>
    <row r="18">
      <c r="A18" s="18" t="inlineStr">
        <is>
          <t>Bond &amp; guarantee fees (if required by contract)</t>
        </is>
      </c>
      <c r="B18" s="44" t="n"/>
      <c r="C18" s="46" t="n">
        <v>1</v>
      </c>
      <c r="D18" s="24">
        <f>N(B18)*C18</f>
        <v/>
      </c>
    </row>
    <row r="19">
      <c r="A19" s="18" t="inlineStr">
        <is>
          <t>Permits &amp; plan-check fees</t>
        </is>
      </c>
      <c r="B19" s="44" t="n"/>
      <c r="C19" s="46" t="n">
        <v>1</v>
      </c>
      <c r="D19" s="24">
        <f>N(B19)*C19</f>
        <v/>
      </c>
    </row>
    <row r="20">
      <c r="A20" s="18" t="inlineStr">
        <is>
          <t>Retention &amp; cash-flow financing cost</t>
        </is>
      </c>
      <c r="B20" s="44" t="n"/>
      <c r="C20" s="46" t="n">
        <v>1</v>
      </c>
      <c r="D20" s="24">
        <f>N(B20)*C20</f>
        <v/>
      </c>
    </row>
    <row r="21">
      <c r="A21" s="18" t="inlineStr">
        <is>
          <t>Mobilization / demobilization (site-wide setup &amp; teardown only)</t>
        </is>
      </c>
      <c r="B21" s="44" t="n"/>
      <c r="C21" s="46" t="n">
        <v>1</v>
      </c>
      <c r="D21" s="24">
        <f>N(B21)*C21</f>
        <v/>
      </c>
    </row>
    <row r="22">
      <c r="A22" s="18" t="inlineStr">
        <is>
          <t>Material delivery &amp; spoil/debris haul-off (site-wide logistics only)</t>
        </is>
      </c>
      <c r="B22" s="44" t="n"/>
      <c r="C22" s="46" t="n">
        <v>1</v>
      </c>
      <c r="D22" s="24">
        <f>N(B22)*C22</f>
        <v/>
      </c>
    </row>
    <row r="23">
      <c r="A23" s="18" t="inlineStr">
        <is>
          <t>Preliminaries allowance — OUR PLACEHOLDER at 8.7% of direct cost (6.54-10.9% band); zero this row out as you price the categories above</t>
        </is>
      </c>
      <c r="B23" s="47">
        <f>ROUND(8.7%*('Takeoff-Structural'!G9+'Takeoff-Architectural'!G18+'Takeoff-Interior'!G15+'Takeoff-Plumbing'!G9+'Takeoff-HVAC'!G7+'Takeoff-Electrical'!G11+'Takeoff-External'!G10+'Takeoff-Preliminaries'!G5),2)</f>
        <v/>
      </c>
      <c r="C23" s="46" t="n">
        <v>1</v>
      </c>
      <c r="D23" s="24">
        <f>N(B23)*C23</f>
        <v/>
      </c>
    </row>
    <row r="24">
      <c r="A24" s="25" t="inlineStr">
        <is>
          <t>Indirect Subtotal</t>
        </is>
      </c>
      <c r="D24" s="48">
        <f>SUM(D7:D23)</f>
        <v/>
      </c>
    </row>
    <row r="25"/>
    <row r="26">
      <c r="A26" t="inlineStr">
        <is>
          <t>Duration drives the monthly block (UFC 3-740-05 §10-4); insurance, bonds, permits and retention financing are job-level costs and do not scale with months. Rates are yours to enter — leave rows blank if not applicable to your job size. Confidence: low until priced.</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S18"/>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6" customWidth="1" min="6" max="6"/>
    <col width="16" customWidth="1" min="7" max="7"/>
    <col width="8" customWidth="1" min="8" max="8"/>
    <col width="9" customWidth="1" min="9" max="9"/>
    <col width="11" customWidth="1" min="10" max="10"/>
    <col width="11" customWidth="1" min="11" max="11"/>
    <col width="14" customWidth="1" min="12" max="12"/>
    <col width="14" customWidth="1" min="13" max="13"/>
    <col width="16" customWidth="1" min="14" max="14"/>
    <col width="14" customWidth="1" min="15" max="15"/>
    <col width="14" customWidth="1" min="16" max="16"/>
    <col width="14" customWidth="1" min="17" max="17"/>
    <col width="7" customWidth="1" min="18" max="18"/>
    <col width="30" customWidth="1" min="19" max="19"/>
  </cols>
  <sheetData>
    <row r="1">
      <c r="A1" s="20" t="inlineStr">
        <is>
          <t>Takeoff — Architectural</t>
        </is>
      </c>
    </row>
    <row r="2">
      <c r="A2" t="inlineStr">
        <is>
          <t>Enter your unit COSTS in the YELLOW cells. Waste/markup default from Settings — override per line if needed. Selling Total = Qty × (1+Waste) × (Sell Mat + Sell Lab); Profit = Selling − Cost. This workbook is a guideline package — it contains no quotation documents; your own bid paperwork is yours to produce from these numbers. Rows labeled "Equipment — ..." at the end of this list are this trade's machinery/equipment cost (crane, excavator, pump, etc.) — Material is n/a by design; enter the equipment cost in the Labor Unit Cost cell so it flows through the same markup formulas. Job-wide mobilization and haul-off logistics live on the Indirect Cost sheet instead — never price the same equipment in both places. ORANGE cells are OUR placeholder estimate (not a verified quote — see Pricing Basis) auto-filled so the quote is never blank; overtype them with your own numbers as soon as you have real pricing. GRAY cells are reference-only figures, not part of the priced scope. BLUE columns are the GUIDELINE RANGE — a low-to-high reference band, never a single quotable figure (source-coded, see Pricing Basis sheet); they never feed the totals. READ THE PRICE BASIS COLUMN: a line marked LABOUR ONLY carries no material cost at all — the equipment/fixture itself is NOT in that figure.</t>
        </is>
      </c>
    </row>
    <row r="3">
      <c r="A3" s="16" t="inlineStr">
        <is>
          <t>#</t>
        </is>
      </c>
      <c r="B3" s="16" t="inlineStr">
        <is>
          <t>Item</t>
        </is>
      </c>
      <c r="C3" s="16" t="inlineStr">
        <is>
          <t>Unit</t>
        </is>
      </c>
      <c r="D3" s="16" t="inlineStr">
        <is>
          <t>Qty</t>
        </is>
      </c>
      <c r="E3" s="16" t="inlineStr">
        <is>
          <t>Material Unit Cost (USD)</t>
        </is>
      </c>
      <c r="F3" s="16" t="inlineStr">
        <is>
          <t>Labor Unit Cost (USD)</t>
        </is>
      </c>
      <c r="G3" s="16" t="inlineStr">
        <is>
          <t>Extended Cost (USD)</t>
        </is>
      </c>
      <c r="H3" s="16" t="inlineStr">
        <is>
          <t>Check</t>
        </is>
      </c>
      <c r="I3" s="16" t="inlineStr">
        <is>
          <t>Waste %</t>
        </is>
      </c>
      <c r="J3" s="16" t="inlineStr">
        <is>
          <t>Mat Markup %</t>
        </is>
      </c>
      <c r="K3" s="16" t="inlineStr">
        <is>
          <t>Lab Markup %</t>
        </is>
      </c>
      <c r="L3" s="16" t="inlineStr">
        <is>
          <t>Sell Mat/Unit (USD)</t>
        </is>
      </c>
      <c r="M3" s="16" t="inlineStr">
        <is>
          <t>Sell Lab/Unit (USD)</t>
        </is>
      </c>
      <c r="N3" s="16" t="inlineStr">
        <is>
          <t>Selling Total (USD)</t>
        </is>
      </c>
      <c r="O3" s="16" t="inlineStr">
        <is>
          <t>Profit (USD)</t>
        </is>
      </c>
      <c r="P3" s="16" t="inlineStr">
        <is>
          <t>GUIDELINE RANGE — Low (USD)</t>
        </is>
      </c>
      <c r="Q3" s="16" t="inlineStr">
        <is>
          <t>GUIDELINE RANGE — High (USD)</t>
        </is>
      </c>
      <c r="R3" s="16" t="inlineStr">
        <is>
          <t>Src</t>
        </is>
      </c>
      <c r="S3" s="16" t="inlineStr">
        <is>
          <t>Price basis</t>
        </is>
      </c>
    </row>
    <row r="4">
      <c r="A4" s="17" t="n">
        <v>1</v>
      </c>
      <c r="B4" s="18">
        <f>'Backup-Architectural'!B4</f>
        <v/>
      </c>
      <c r="C4" s="17">
        <f>'Backup-Architectural'!C4</f>
        <v/>
      </c>
      <c r="D4" s="24">
        <f>'Backup-Architectural'!D4</f>
        <v/>
      </c>
      <c r="E4" s="44" t="n"/>
      <c r="F4" s="44" t="n"/>
      <c r="G4" s="24">
        <f>IF(D4="","",D4*(N(E4)+N(F4)*PREVWAGE*DFACTOR))</f>
        <v/>
      </c>
      <c r="H4" s="17">
        <f>'Backup-Architectural'!F4</f>
        <v/>
      </c>
      <c r="I4" s="49">
        <f>MATLOSS</f>
        <v/>
      </c>
      <c r="J4" s="49">
        <f>MATMARKUP</f>
        <v/>
      </c>
      <c r="K4" s="49">
        <f>LABMARKUP</f>
        <v/>
      </c>
      <c r="L4" s="24">
        <f>IF(N(E4)=0,0,ROUND(E4*(1+J4),2))</f>
        <v/>
      </c>
      <c r="M4" s="24">
        <f>IF(N(F4)=0,0,ROUND(F4*PREVWAGE*DFACTOR*(1+K4),2))</f>
        <v/>
      </c>
      <c r="N4" s="24">
        <f>IF(D4="","",ROUND(D4*(1+N(I4))*(N(L4)+N(M4)),2))</f>
        <v/>
      </c>
      <c r="O4" s="24">
        <f>IF(D4="","",N(N4)-N(G4))</f>
        <v/>
      </c>
      <c r="P4" s="24" t="n"/>
      <c r="Q4" s="24" t="n"/>
      <c r="R4" s="17" t="n"/>
      <c r="S4" s="18" t="n"/>
    </row>
    <row r="5">
      <c r="A5" s="17" t="n">
        <v>2</v>
      </c>
      <c r="B5" s="18">
        <f>'Backup-Architectural'!B5</f>
        <v/>
      </c>
      <c r="C5" s="17">
        <f>'Backup-Architectural'!C5</f>
        <v/>
      </c>
      <c r="D5" s="24">
        <f>'Backup-Architectural'!D5</f>
        <v/>
      </c>
      <c r="E5" s="44" t="n"/>
      <c r="F5" s="44" t="n"/>
      <c r="G5" s="24">
        <f>IF(D5="","",D5*(N(E5)+N(F5)*PREVWAGE*DFACTOR))</f>
        <v/>
      </c>
      <c r="H5" s="17">
        <f>'Backup-Architectural'!F5</f>
        <v/>
      </c>
      <c r="I5" s="49">
        <f>MATLOSS</f>
        <v/>
      </c>
      <c r="J5" s="49">
        <f>MATMARKUP</f>
        <v/>
      </c>
      <c r="K5" s="49">
        <f>LABMARKUP</f>
        <v/>
      </c>
      <c r="L5" s="24">
        <f>IF(N(E5)=0,0,ROUND(E5*(1+J5),2))</f>
        <v/>
      </c>
      <c r="M5" s="24">
        <f>IF(N(F5)=0,0,ROUND(F5*PREVWAGE*DFACTOR*(1+K5),2))</f>
        <v/>
      </c>
      <c r="N5" s="24">
        <f>IF(D5="","",ROUND(D5*(1+N(I5))*(N(L5)+N(M5)),2))</f>
        <v/>
      </c>
      <c r="O5" s="24">
        <f>IF(D5="","",N(N5)-N(G5))</f>
        <v/>
      </c>
      <c r="P5" s="24" t="n"/>
      <c r="Q5" s="24" t="n"/>
      <c r="R5" s="17" t="n"/>
      <c r="S5" s="18" t="n"/>
    </row>
    <row r="6">
      <c r="A6" s="17" t="n">
        <v>3</v>
      </c>
      <c r="B6" s="18">
        <f>'Backup-Architectural'!B6</f>
        <v/>
      </c>
      <c r="C6" s="17">
        <f>'Backup-Architectural'!C6</f>
        <v/>
      </c>
      <c r="D6" s="24">
        <f>'Backup-Architectural'!D6</f>
        <v/>
      </c>
      <c r="E6" s="47" t="n"/>
      <c r="F6" s="47" t="n"/>
      <c r="G6" s="24">
        <f>IF(D6="","",D6*(N(E6)+N(F6)*PREVWAGE*DFACTOR))</f>
        <v/>
      </c>
      <c r="H6" s="17">
        <f>'Backup-Architectural'!F6</f>
        <v/>
      </c>
      <c r="I6" s="49">
        <f>MATLOSS</f>
        <v/>
      </c>
      <c r="J6" s="49">
        <f>MATMARKUP</f>
        <v/>
      </c>
      <c r="K6" s="49">
        <f>LABMARKUP</f>
        <v/>
      </c>
      <c r="L6" s="24">
        <f>IF(N(E6)=0,0,ROUND(E6*(1+J6),2))</f>
        <v/>
      </c>
      <c r="M6" s="24">
        <f>IF(N(F6)=0,0,ROUND(F6*PREVWAGE*DFACTOR*(1+K6),2))</f>
        <v/>
      </c>
      <c r="N6" s="24">
        <f>IF(D6="","",ROUND(D6*(1+N(I6))*(N(L6)+N(M6)),2))</f>
        <v/>
      </c>
      <c r="O6" s="24">
        <f>IF(D6="","",N(N6)-N(G6))</f>
        <v/>
      </c>
      <c r="P6" s="29" t="n">
        <v>6.03</v>
      </c>
      <c r="Q6" s="29" t="n">
        <v>11.83</v>
      </c>
      <c r="R6" s="50" t="inlineStr">
        <is>
          <t>THANCHOR-US-118</t>
        </is>
      </c>
      <c r="S6" s="18" t="n"/>
    </row>
    <row r="7">
      <c r="A7" s="17" t="n">
        <v>4</v>
      </c>
      <c r="B7" s="18">
        <f>'Backup-Architectural'!B7</f>
        <v/>
      </c>
      <c r="C7" s="17">
        <f>'Backup-Architectural'!C7</f>
        <v/>
      </c>
      <c r="D7" s="24">
        <f>'Backup-Architectural'!D7</f>
        <v/>
      </c>
      <c r="E7" s="47" t="n"/>
      <c r="F7" s="47" t="n"/>
      <c r="G7" s="24">
        <f>IF(D7="","",D7*(N(E7)+N(F7)*PREVWAGE*DFACTOR))</f>
        <v/>
      </c>
      <c r="H7" s="17">
        <f>'Backup-Architectural'!F7</f>
        <v/>
      </c>
      <c r="I7" s="49">
        <f>MATLOSS</f>
        <v/>
      </c>
      <c r="J7" s="49">
        <f>MATMARKUP</f>
        <v/>
      </c>
      <c r="K7" s="49">
        <f>LABMARKUP</f>
        <v/>
      </c>
      <c r="L7" s="24">
        <f>IF(N(E7)=0,0,ROUND(E7*(1+J7),2))</f>
        <v/>
      </c>
      <c r="M7" s="24">
        <f>IF(N(F7)=0,0,ROUND(F7*PREVWAGE*DFACTOR*(1+K7),2))</f>
        <v/>
      </c>
      <c r="N7" s="24">
        <f>IF(D7="","",ROUND(D7*(1+N(I7))*(N(L7)+N(M7)),2))</f>
        <v/>
      </c>
      <c r="O7" s="24">
        <f>IF(D7="","",N(N7)-N(G7))</f>
        <v/>
      </c>
      <c r="P7" s="29" t="n">
        <v>1.99</v>
      </c>
      <c r="Q7" s="29" t="n">
        <v>4.63</v>
      </c>
      <c r="R7" s="50" t="inlineStr">
        <is>
          <t>THANCHOR-US-053</t>
        </is>
      </c>
      <c r="S7" s="18" t="n"/>
    </row>
    <row r="8">
      <c r="A8" s="17" t="n">
        <v>5</v>
      </c>
      <c r="B8" s="18">
        <f>'Backup-Architectural'!B8</f>
        <v/>
      </c>
      <c r="C8" s="17">
        <f>'Backup-Architectural'!C8</f>
        <v/>
      </c>
      <c r="D8" s="24">
        <f>'Backup-Architectural'!D8</f>
        <v/>
      </c>
      <c r="E8" s="44" t="n"/>
      <c r="F8" s="44" t="n"/>
      <c r="G8" s="24">
        <f>IF(D8="","",D8*(N(E8)+N(F8)*PREVWAGE*DFACTOR))</f>
        <v/>
      </c>
      <c r="H8" s="17">
        <f>'Backup-Architectural'!F8</f>
        <v/>
      </c>
      <c r="I8" s="49">
        <f>MATLOSS</f>
        <v/>
      </c>
      <c r="J8" s="49">
        <f>MATMARKUP</f>
        <v/>
      </c>
      <c r="K8" s="49">
        <f>LABMARKUP</f>
        <v/>
      </c>
      <c r="L8" s="24">
        <f>IF(N(E8)=0,0,ROUND(E8*(1+J8),2))</f>
        <v/>
      </c>
      <c r="M8" s="24">
        <f>IF(N(F8)=0,0,ROUND(F8*PREVWAGE*DFACTOR*(1+K8),2))</f>
        <v/>
      </c>
      <c r="N8" s="24">
        <f>IF(D8="","",ROUND(D8*(1+N(I8))*(N(L8)+N(M8)),2))</f>
        <v/>
      </c>
      <c r="O8" s="24">
        <f>IF(D8="","",N(N8)-N(G8))</f>
        <v/>
      </c>
      <c r="P8" s="24" t="n"/>
      <c r="Q8" s="24" t="n"/>
      <c r="R8" s="17" t="n"/>
      <c r="S8" s="18" t="n"/>
    </row>
    <row r="9">
      <c r="A9" s="17" t="n">
        <v>6</v>
      </c>
      <c r="B9" s="18">
        <f>'Backup-Architectural'!B9</f>
        <v/>
      </c>
      <c r="C9" s="17">
        <f>'Backup-Architectural'!C9</f>
        <v/>
      </c>
      <c r="D9" s="24">
        <f>'Backup-Architectural'!D9</f>
        <v/>
      </c>
      <c r="E9" s="44" t="n"/>
      <c r="F9" s="44" t="n"/>
      <c r="G9" s="24">
        <f>IF(D9="","",D9*(N(E9)+N(F9)*PREVWAGE*DFACTOR))</f>
        <v/>
      </c>
      <c r="H9" s="17">
        <f>'Backup-Architectural'!F9</f>
        <v/>
      </c>
      <c r="I9" s="49">
        <f>MATLOSS</f>
        <v/>
      </c>
      <c r="J9" s="49">
        <f>MATMARKUP</f>
        <v/>
      </c>
      <c r="K9" s="49">
        <f>LABMARKUP</f>
        <v/>
      </c>
      <c r="L9" s="24">
        <f>IF(N(E9)=0,0,ROUND(E9*(1+J9),2))</f>
        <v/>
      </c>
      <c r="M9" s="24">
        <f>IF(N(F9)=0,0,ROUND(F9*PREVWAGE*DFACTOR*(1+K9),2))</f>
        <v/>
      </c>
      <c r="N9" s="24">
        <f>IF(D9="","",ROUND(D9*(1+N(I9))*(N(L9)+N(M9)),2))</f>
        <v/>
      </c>
      <c r="O9" s="24">
        <f>IF(D9="","",N(N9)-N(G9))</f>
        <v/>
      </c>
      <c r="P9" s="24" t="n"/>
      <c r="Q9" s="24" t="n"/>
      <c r="R9" s="17" t="n"/>
      <c r="S9" s="18" t="n"/>
    </row>
    <row r="10">
      <c r="A10" s="17" t="n">
        <v>7</v>
      </c>
      <c r="B10" s="18">
        <f>'Backup-Architectural'!B10</f>
        <v/>
      </c>
      <c r="C10" s="17">
        <f>'Backup-Architectural'!C10</f>
        <v/>
      </c>
      <c r="D10" s="24">
        <f>'Backup-Architectural'!D10</f>
        <v/>
      </c>
      <c r="E10" s="44" t="n"/>
      <c r="F10" s="44" t="n"/>
      <c r="G10" s="24">
        <f>IF(D10="","",D10*(N(E10)+N(F10)*PREVWAGE*DFACTOR))</f>
        <v/>
      </c>
      <c r="H10" s="17">
        <f>'Backup-Architectural'!F10</f>
        <v/>
      </c>
      <c r="I10" s="49">
        <f>MATLOSS</f>
        <v/>
      </c>
      <c r="J10" s="49">
        <f>MATMARKUP</f>
        <v/>
      </c>
      <c r="K10" s="49">
        <f>LABMARKUP</f>
        <v/>
      </c>
      <c r="L10" s="24">
        <f>IF(N(E10)=0,0,ROUND(E10*(1+J10),2))</f>
        <v/>
      </c>
      <c r="M10" s="24">
        <f>IF(N(F10)=0,0,ROUND(F10*PREVWAGE*DFACTOR*(1+K10),2))</f>
        <v/>
      </c>
      <c r="N10" s="24">
        <f>IF(D10="","",ROUND(D10*(1+N(I10))*(N(L10)+N(M10)),2))</f>
        <v/>
      </c>
      <c r="O10" s="24">
        <f>IF(D10="","",N(N10)-N(G10))</f>
        <v/>
      </c>
      <c r="P10" s="24" t="n"/>
      <c r="Q10" s="24" t="n"/>
      <c r="R10" s="17" t="n"/>
      <c r="S10" s="18" t="n"/>
    </row>
    <row r="11">
      <c r="A11" s="17" t="n">
        <v>8</v>
      </c>
      <c r="B11" s="18">
        <f>'Backup-Architectural'!B11</f>
        <v/>
      </c>
      <c r="C11" s="17">
        <f>'Backup-Architectural'!C11</f>
        <v/>
      </c>
      <c r="D11" s="24">
        <f>'Backup-Architectural'!D11</f>
        <v/>
      </c>
      <c r="E11" s="47" t="n"/>
      <c r="F11" s="47" t="n"/>
      <c r="G11" s="24">
        <f>IF(D11="","",D11*(N(E11)+N(F11)*PREVWAGE*DFACTOR))</f>
        <v/>
      </c>
      <c r="H11" s="17">
        <f>'Backup-Architectural'!F11</f>
        <v/>
      </c>
      <c r="I11" s="49">
        <f>MATLOSS</f>
        <v/>
      </c>
      <c r="J11" s="49">
        <f>MATMARKUP</f>
        <v/>
      </c>
      <c r="K11" s="49">
        <f>LABMARKUP</f>
        <v/>
      </c>
      <c r="L11" s="24">
        <f>IF(N(E11)=0,0,ROUND(E11*(1+J11),2))</f>
        <v/>
      </c>
      <c r="M11" s="24">
        <f>IF(N(F11)=0,0,ROUND(F11*PREVWAGE*DFACTOR*(1+K11),2))</f>
        <v/>
      </c>
      <c r="N11" s="24">
        <f>IF(D11="","",ROUND(D11*(1+N(I11))*(N(L11)+N(M11)),2))</f>
        <v/>
      </c>
      <c r="O11" s="24">
        <f>IF(D11="","",N(N11)-N(G11))</f>
        <v/>
      </c>
      <c r="P11" s="51" t="n">
        <v>700</v>
      </c>
      <c r="Q11" s="51" t="n">
        <v>1200</v>
      </c>
      <c r="R11" s="52" t="inlineStr">
        <is>
          <t>THANCHOR-US-301</t>
        </is>
      </c>
      <c r="S11" s="53" t="inlineStr">
        <is>
          <t>LOW-CONFIDENCE BASELINE (low) — highlighted amber; replace with your own rate</t>
        </is>
      </c>
    </row>
    <row r="12">
      <c r="A12" s="17" t="n">
        <v>9</v>
      </c>
      <c r="B12" s="18">
        <f>'Backup-Architectural'!B12</f>
        <v/>
      </c>
      <c r="C12" s="17">
        <f>'Backup-Architectural'!C12</f>
        <v/>
      </c>
      <c r="D12" s="24">
        <f>'Backup-Architectural'!D12</f>
        <v/>
      </c>
      <c r="E12" s="44" t="n"/>
      <c r="F12" s="44" t="n"/>
      <c r="G12" s="24">
        <f>IF(D12="","",D12*(N(E12)+N(F12)*PREVWAGE*DFACTOR))</f>
        <v/>
      </c>
      <c r="H12" s="17">
        <f>'Backup-Architectural'!F12</f>
        <v/>
      </c>
      <c r="I12" s="49">
        <f>MATLOSS</f>
        <v/>
      </c>
      <c r="J12" s="49">
        <f>MATMARKUP</f>
        <v/>
      </c>
      <c r="K12" s="49">
        <f>LABMARKUP</f>
        <v/>
      </c>
      <c r="L12" s="24">
        <f>IF(N(E12)=0,0,ROUND(E12*(1+J12),2))</f>
        <v/>
      </c>
      <c r="M12" s="24">
        <f>IF(N(F12)=0,0,ROUND(F12*PREVWAGE*DFACTOR*(1+K12),2))</f>
        <v/>
      </c>
      <c r="N12" s="24">
        <f>IF(D12="","",ROUND(D12*(1+N(I12))*(N(L12)+N(M12)),2))</f>
        <v/>
      </c>
      <c r="O12" s="24">
        <f>IF(D12="","",N(N12)-N(G12))</f>
        <v/>
      </c>
      <c r="P12" s="24" t="n"/>
      <c r="Q12" s="24" t="n"/>
      <c r="R12" s="17" t="n"/>
      <c r="S12" s="18" t="n"/>
    </row>
    <row r="13">
      <c r="A13" s="17" t="n">
        <v>10</v>
      </c>
      <c r="B13" s="18">
        <f>'Backup-Architectural'!B13</f>
        <v/>
      </c>
      <c r="C13" s="17">
        <f>'Backup-Architectural'!C13</f>
        <v/>
      </c>
      <c r="D13" s="24">
        <f>'Backup-Architectural'!D13</f>
        <v/>
      </c>
      <c r="E13" s="47" t="n"/>
      <c r="F13" s="47" t="n"/>
      <c r="G13" s="24">
        <f>IF(D13="","",D13*(N(E13)+N(F13)*PREVWAGE*DFACTOR))</f>
        <v/>
      </c>
      <c r="H13" s="17">
        <f>'Backup-Architectural'!F13</f>
        <v/>
      </c>
      <c r="I13" s="49">
        <f>MATLOSS</f>
        <v/>
      </c>
      <c r="J13" s="49">
        <f>MATMARKUP</f>
        <v/>
      </c>
      <c r="K13" s="49">
        <f>LABMARKUP</f>
        <v/>
      </c>
      <c r="L13" s="24">
        <f>IF(N(E13)=0,0,ROUND(E13*(1+J13),2))</f>
        <v/>
      </c>
      <c r="M13" s="24">
        <f>IF(N(F13)=0,0,ROUND(F13*PREVWAGE*DFACTOR*(1+K13),2))</f>
        <v/>
      </c>
      <c r="N13" s="24">
        <f>IF(D13="","",ROUND(D13*(1+N(I13))*(N(L13)+N(M13)),2))</f>
        <v/>
      </c>
      <c r="O13" s="24">
        <f>IF(D13="","",N(N13)-N(G13))</f>
        <v/>
      </c>
      <c r="P13" s="29" t="n">
        <v>727</v>
      </c>
      <c r="Q13" s="29" t="n">
        <v>1809</v>
      </c>
      <c r="R13" s="50" t="inlineStr">
        <is>
          <t>THANCHOR-US-174</t>
        </is>
      </c>
      <c r="S13" s="18" t="n"/>
    </row>
    <row r="14">
      <c r="A14" s="17" t="n">
        <v>11</v>
      </c>
      <c r="B14" s="18">
        <f>'Backup-Architectural'!B14</f>
        <v/>
      </c>
      <c r="C14" s="17">
        <f>'Backup-Architectural'!C14</f>
        <v/>
      </c>
      <c r="D14" s="24">
        <f>'Backup-Architectural'!D14</f>
        <v/>
      </c>
      <c r="E14" s="44" t="n"/>
      <c r="F14" s="44" t="n"/>
      <c r="G14" s="24">
        <f>IF(D14="","",D14*(N(E14)+N(F14)*PREVWAGE*DFACTOR))</f>
        <v/>
      </c>
      <c r="H14" s="17">
        <f>'Backup-Architectural'!F14</f>
        <v/>
      </c>
      <c r="I14" s="49">
        <f>MATLOSS</f>
        <v/>
      </c>
      <c r="J14" s="49">
        <f>MATMARKUP</f>
        <v/>
      </c>
      <c r="K14" s="49">
        <f>LABMARKUP</f>
        <v/>
      </c>
      <c r="L14" s="24">
        <f>IF(N(E14)=0,0,ROUND(E14*(1+J14),2))</f>
        <v/>
      </c>
      <c r="M14" s="24">
        <f>IF(N(F14)=0,0,ROUND(F14*PREVWAGE*DFACTOR*(1+K14),2))</f>
        <v/>
      </c>
      <c r="N14" s="24">
        <f>IF(D14="","",ROUND(D14*(1+N(I14))*(N(L14)+N(M14)),2))</f>
        <v/>
      </c>
      <c r="O14" s="24">
        <f>IF(D14="","",N(N14)-N(G14))</f>
        <v/>
      </c>
      <c r="P14" s="24" t="n"/>
      <c r="Q14" s="24" t="n"/>
      <c r="R14" s="17" t="n"/>
      <c r="S14" s="18" t="n"/>
    </row>
    <row r="15">
      <c r="A15" s="17" t="n">
        <v>12</v>
      </c>
      <c r="B15" s="18">
        <f>'Backup-Architectural'!B15</f>
        <v/>
      </c>
      <c r="C15" s="17">
        <f>'Backup-Architectural'!C15</f>
        <v/>
      </c>
      <c r="D15" s="24">
        <f>'Backup-Architectural'!D15</f>
        <v/>
      </c>
      <c r="E15" s="44" t="n"/>
      <c r="F15" s="44" t="n"/>
      <c r="G15" s="24">
        <f>IF(D15="","",D15*(N(E15)+N(F15)*PREVWAGE*DFACTOR))</f>
        <v/>
      </c>
      <c r="H15" s="17">
        <f>'Backup-Architectural'!F15</f>
        <v/>
      </c>
      <c r="I15" s="49">
        <f>MATLOSS</f>
        <v/>
      </c>
      <c r="J15" s="49">
        <f>MATMARKUP</f>
        <v/>
      </c>
      <c r="K15" s="49">
        <f>LABMARKUP</f>
        <v/>
      </c>
      <c r="L15" s="24">
        <f>IF(N(E15)=0,0,ROUND(E15*(1+J15),2))</f>
        <v/>
      </c>
      <c r="M15" s="24">
        <f>IF(N(F15)=0,0,ROUND(F15*PREVWAGE*DFACTOR*(1+K15),2))</f>
        <v/>
      </c>
      <c r="N15" s="24">
        <f>IF(D15="","",ROUND(D15*(1+N(I15))*(N(L15)+N(M15)),2))</f>
        <v/>
      </c>
      <c r="O15" s="24">
        <f>IF(D15="","",N(N15)-N(G15))</f>
        <v/>
      </c>
      <c r="P15" s="24" t="n"/>
      <c r="Q15" s="24" t="n"/>
      <c r="R15" s="17" t="n"/>
      <c r="S15" s="18" t="n"/>
    </row>
    <row r="16">
      <c r="A16" s="17" t="n">
        <v>13</v>
      </c>
      <c r="B16" s="18">
        <f>'Backup-Architectural'!B16</f>
        <v/>
      </c>
      <c r="C16" s="17">
        <f>'Backup-Architectural'!C16</f>
        <v/>
      </c>
      <c r="D16" s="24">
        <f>'Backup-Architectural'!D16</f>
        <v/>
      </c>
      <c r="E16" s="44" t="n"/>
      <c r="F16" s="44" t="n"/>
      <c r="G16" s="24">
        <f>IF(D16="","",D16*(N(E16)+N(F16)*PREVWAGE*DFACTOR))</f>
        <v/>
      </c>
      <c r="H16" s="17">
        <f>'Backup-Architectural'!F16</f>
        <v/>
      </c>
      <c r="I16" s="49">
        <f>MATLOSS</f>
        <v/>
      </c>
      <c r="J16" s="49">
        <f>MATMARKUP</f>
        <v/>
      </c>
      <c r="K16" s="49">
        <f>LABMARKUP</f>
        <v/>
      </c>
      <c r="L16" s="24">
        <f>IF(N(E16)=0,0,ROUND(E16*(1+J16),2))</f>
        <v/>
      </c>
      <c r="M16" s="24">
        <f>IF(N(F16)=0,0,ROUND(F16*PREVWAGE*DFACTOR*(1+K16),2))</f>
        <v/>
      </c>
      <c r="N16" s="24">
        <f>IF(D16="","",ROUND(D16*(1+N(I16))*(N(L16)+N(M16)),2))</f>
        <v/>
      </c>
      <c r="O16" s="24">
        <f>IF(D16="","",N(N16)-N(G16))</f>
        <v/>
      </c>
      <c r="P16" s="24" t="n"/>
      <c r="Q16" s="24" t="n"/>
      <c r="R16" s="17" t="n"/>
      <c r="S16" s="18" t="n"/>
    </row>
    <row r="17">
      <c r="A17" s="17" t="n">
        <v>14</v>
      </c>
      <c r="B17" s="18">
        <f>'Backup-Architectural'!B17</f>
        <v/>
      </c>
      <c r="C17" s="17">
        <f>'Backup-Architectural'!C17</f>
        <v/>
      </c>
      <c r="D17" s="24">
        <f>'Backup-Architectural'!D17</f>
        <v/>
      </c>
      <c r="E17" s="44" t="n"/>
      <c r="F17" s="44" t="n"/>
      <c r="G17" s="24">
        <f>IF(D17="","",D17*(N(E17)+N(F17)*PREVWAGE*DFACTOR))</f>
        <v/>
      </c>
      <c r="H17" s="17">
        <f>'Backup-Architectural'!F17</f>
        <v/>
      </c>
      <c r="I17" s="49">
        <f>MATLOSS</f>
        <v/>
      </c>
      <c r="J17" s="49">
        <f>MATMARKUP</f>
        <v/>
      </c>
      <c r="K17" s="49">
        <f>LABMARKUP</f>
        <v/>
      </c>
      <c r="L17" s="24">
        <f>IF(N(E17)=0,0,ROUND(E17*(1+J17),2))</f>
        <v/>
      </c>
      <c r="M17" s="24">
        <f>IF(N(F17)=0,0,ROUND(F17*PREVWAGE*DFACTOR*(1+K17),2))</f>
        <v/>
      </c>
      <c r="N17" s="24">
        <f>IF(D17="","",ROUND(D17*(1+N(I17))*(N(L17)+N(M17)),2))</f>
        <v/>
      </c>
      <c r="O17" s="24">
        <f>IF(D17="","",N(N17)-N(G17))</f>
        <v/>
      </c>
      <c r="P17" s="24" t="n"/>
      <c r="Q17" s="24" t="n"/>
      <c r="R17" s="17" t="n"/>
      <c r="S17" s="18" t="n"/>
    </row>
    <row r="18">
      <c r="B18" s="25" t="inlineStr">
        <is>
          <t>Architectural — Direct Subtotal</t>
        </is>
      </c>
      <c r="G18" s="48">
        <f>SUM(G4:G17)</f>
        <v/>
      </c>
      <c r="N18" s="48">
        <f>SUM(N4:N17)</f>
        <v/>
      </c>
      <c r="O18" s="48">
        <f>SUM(O4:O17)</f>
        <v/>
      </c>
      <c r="P18" s="54">
        <f>SUMPRODUCT(D4:D17,P4:P17)</f>
        <v/>
      </c>
      <c r="Q18" s="54">
        <f>SUMPRODUCT(D4:D17,Q4:Q17)</f>
        <v/>
      </c>
      <c r="R18" s="17" t="inlineStr">
        <is>
          <t>ref</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I17"/>
  <sheetViews>
    <sheetView workbookViewId="0">
      <pane ySplit="3" topLeftCell="A4" activePane="bottomLeft" state="frozen"/>
      <selection pane="bottomLeft" activeCell="A1" sqref="A1"/>
    </sheetView>
  </sheetViews>
  <sheetFormatPr baseColWidth="8" defaultRowHeight="15"/>
  <cols>
    <col width="5" customWidth="1" min="1" max="1"/>
    <col width="46" customWidth="1" min="2" max="2"/>
    <col width="8" customWidth="1" min="3" max="3"/>
    <col width="12" customWidth="1" min="4" max="4"/>
    <col width="16" customWidth="1" min="5" max="5"/>
    <col width="12" customWidth="1" min="6" max="6"/>
    <col width="52" customWidth="1" min="7" max="7"/>
    <col width="16" customWidth="1" min="8" max="8"/>
    <col width="24" customWidth="1" min="9" max="9"/>
  </cols>
  <sheetData>
    <row r="1">
      <c r="A1" s="20" t="inlineStr">
        <is>
          <t>Backup — Architectural (quantity source of truth)</t>
        </is>
      </c>
    </row>
    <row r="2"/>
    <row r="3">
      <c r="A3" s="16" t="inlineStr">
        <is>
          <t>#</t>
        </is>
      </c>
      <c r="B3" s="16" t="inlineStr">
        <is>
          <t>Item</t>
        </is>
      </c>
      <c r="C3" s="16" t="inlineStr">
        <is>
          <t>Unit</t>
        </is>
      </c>
      <c r="D3" s="16" t="inlineStr">
        <is>
          <t>Qty</t>
        </is>
      </c>
      <c r="E3" s="16" t="inlineStr">
        <is>
          <t>Drawing Ref</t>
        </is>
      </c>
      <c r="F3" s="16" t="inlineStr">
        <is>
          <t>Check</t>
        </is>
      </c>
      <c r="G3" s="16" t="inlineStr">
        <is>
          <t>Assumption / Basis</t>
        </is>
      </c>
      <c r="H3" s="16" t="inlineStr">
        <is>
          <t>Qty (Metric)</t>
        </is>
      </c>
      <c r="I3" s="16" t="inlineStr">
        <is>
          <t>CSI Division</t>
        </is>
      </c>
    </row>
    <row r="4">
      <c r="A4" s="17" t="n">
        <v>1</v>
      </c>
      <c r="B4" s="18" t="inlineStr">
        <is>
          <t>8 in CMU bearing wall, fully grouted at 48 in o.c. and at all openings</t>
        </is>
      </c>
      <c r="C4" s="17" t="inlineStr">
        <is>
          <t>SF</t>
        </is>
      </c>
      <c r="D4" s="24">
        <f>'Calc-Architectural'!H10*10.7639</f>
        <v/>
      </c>
      <c r="E4" s="17" t="inlineStr">
        <is>
          <t>A-101, A-201, A-401</t>
        </is>
      </c>
      <c r="F4" s="17" t="n">
        <v>1</v>
      </c>
      <c r="G4" s="18" t="inlineStr">
        <is>
          <t>Openings deducted per the A-601 schedules (storefront pair, overhead door, all windows).</t>
        </is>
      </c>
      <c r="H4" s="18" t="inlineStr">
        <is>
          <t>None</t>
        </is>
      </c>
      <c r="I4" s="18" t="inlineStr">
        <is>
          <t>04 22 00</t>
        </is>
      </c>
    </row>
    <row r="5">
      <c r="A5" s="17" t="n">
        <v>2</v>
      </c>
      <c r="B5" s="18" t="inlineStr">
        <is>
          <t>Face brick, 3-5/8 in, running bond, to 3'-4 in above finished floor</t>
        </is>
      </c>
      <c r="C5" s="17" t="inlineStr">
        <is>
          <t>SF</t>
        </is>
      </c>
      <c r="D5" s="24">
        <f>'Calc-Architectural'!H18*10.7639</f>
        <v/>
      </c>
      <c r="E5" s="17" t="inlineStr">
        <is>
          <t>A-201, A-401</t>
        </is>
      </c>
      <c r="F5" s="17" t="n">
        <v>1</v>
      </c>
      <c r="G5" s="18" t="inlineStr">
        <is>
          <t>Band height is dimensioned on the elevations and repeated on the wall section.</t>
        </is>
      </c>
      <c r="H5" s="18" t="inlineStr">
        <is>
          <t>None</t>
        </is>
      </c>
      <c r="I5" s="18" t="inlineStr">
        <is>
          <t>04 21 13</t>
        </is>
      </c>
    </row>
    <row r="6">
      <c r="A6" s="17" t="n">
        <v>3</v>
      </c>
      <c r="B6" s="18" t="inlineStr">
        <is>
          <t>60 mil TPO single ply membrane, mechanically fastened</t>
        </is>
      </c>
      <c r="C6" s="17" t="inlineStr">
        <is>
          <t>SF</t>
        </is>
      </c>
      <c r="D6" s="24">
        <f>'Calc-Architectural'!I26*10.7639</f>
        <v/>
      </c>
      <c r="E6" s="17" t="inlineStr">
        <is>
          <t>A-301, A-401</t>
        </is>
      </c>
      <c r="F6" s="17" t="n">
        <v>1</v>
      </c>
      <c r="G6" s="18" t="inlineStr">
        <is>
          <t>No tapered insulation crickets are drawn; membrane area equals deck area.</t>
        </is>
      </c>
      <c r="H6" s="18" t="inlineStr">
        <is>
          <t>None</t>
        </is>
      </c>
      <c r="I6" s="18" t="inlineStr">
        <is>
          <t>07 54 23</t>
        </is>
      </c>
    </row>
    <row r="7">
      <c r="A7" s="17" t="n">
        <v>4</v>
      </c>
      <c r="B7" s="18" t="inlineStr">
        <is>
          <t>R-30 polyisocyanurate roof insulation, two layers, staggered joints</t>
        </is>
      </c>
      <c r="C7" s="17" t="inlineStr">
        <is>
          <t>SF</t>
        </is>
      </c>
      <c r="D7" s="24">
        <f>'Calc-Architectural'!I34*10.7639</f>
        <v/>
      </c>
      <c r="E7" s="17" t="inlineStr">
        <is>
          <t>A-401</t>
        </is>
      </c>
      <c r="F7" s="17" t="n">
        <v>1</v>
      </c>
      <c r="G7" s="18" t="inlineStr">
        <is>
          <t>Two layers are called for; the quantity is the roof area, not the layer count.</t>
        </is>
      </c>
      <c r="H7" s="18" t="inlineStr">
        <is>
          <t>None</t>
        </is>
      </c>
      <c r="I7" s="18" t="inlineStr">
        <is>
          <t>07 22 00</t>
        </is>
      </c>
    </row>
    <row r="8">
      <c r="A8" s="17" t="n">
        <v>5</v>
      </c>
      <c r="B8" s="18" t="inlineStr">
        <is>
          <t>R-13 rigid cavity insulation, continuous, in exterior wall</t>
        </is>
      </c>
      <c r="C8" s="17" t="inlineStr">
        <is>
          <t>SF</t>
        </is>
      </c>
      <c r="D8" s="24">
        <f>'Calc-Architectural'!H43*10.7639</f>
        <v/>
      </c>
      <c r="E8" s="17" t="inlineStr">
        <is>
          <t>A-401</t>
        </is>
      </c>
      <c r="F8" s="17" t="n">
        <v>1</v>
      </c>
      <c r="G8" s="18" t="inlineStr">
        <is>
          <t>Continuous behind the brick, so it follows the net wall area.</t>
        </is>
      </c>
      <c r="H8" s="18" t="inlineStr">
        <is>
          <t>None</t>
        </is>
      </c>
      <c r="I8" s="18" t="inlineStr">
        <is>
          <t>07 21 00</t>
        </is>
      </c>
    </row>
    <row r="9">
      <c r="A9" s="17" t="n">
        <v>6</v>
      </c>
      <c r="B9" s="18" t="inlineStr">
        <is>
          <t>Prefinished metal coping at parapet</t>
        </is>
      </c>
      <c r="C9" s="17" t="inlineStr">
        <is>
          <t>LF</t>
        </is>
      </c>
      <c r="D9" s="24">
        <f>'Calc-Architectural'!H51*3.28084</f>
        <v/>
      </c>
      <c r="E9" s="17" t="inlineStr">
        <is>
          <t>A-201, A-401</t>
        </is>
      </c>
      <c r="F9" s="17" t="n">
        <v>1</v>
      </c>
      <c r="G9" s="18" t="inlineStr">
        <is>
          <t>Coping is shown continuous on the elevations.</t>
        </is>
      </c>
      <c r="H9" s="18" t="inlineStr">
        <is>
          <t>None</t>
        </is>
      </c>
      <c r="I9" s="18" t="inlineStr">
        <is>
          <t>07 62 00</t>
        </is>
      </c>
    </row>
    <row r="10">
      <c r="A10" s="17" t="n">
        <v>7</v>
      </c>
      <c r="B10" s="18" t="inlineStr">
        <is>
          <t>Aluminium storefront, pair, 6'-0 x 7'-0, insulated glazing (mark D1)</t>
        </is>
      </c>
      <c r="C10" s="17" t="inlineStr">
        <is>
          <t>EA</t>
        </is>
      </c>
      <c r="D10" s="24">
        <f>'Calc-Architectural'!I59</f>
        <v/>
      </c>
      <c r="E10" s="17" t="inlineStr">
        <is>
          <t>A-601</t>
        </is>
      </c>
      <c r="F10" s="17" t="n">
        <v>1</v>
      </c>
      <c r="G10" s="18" t="inlineStr">
        <is>
          <t>Straight off the door schedule; located at lobby entrance.</t>
        </is>
      </c>
      <c r="H10" s="18" t="inlineStr">
        <is>
          <t>None</t>
        </is>
      </c>
      <c r="I10" s="18" t="inlineStr">
        <is>
          <t>08 11 00</t>
        </is>
      </c>
    </row>
    <row r="11">
      <c r="A11" s="17" t="n">
        <v>8</v>
      </c>
      <c r="B11" s="18" t="inlineStr">
        <is>
          <t>Hollow metal, single, 3'-0 x 7'-0, 90 min rated (mark D2)</t>
        </is>
      </c>
      <c r="C11" s="17" t="inlineStr">
        <is>
          <t>EA</t>
        </is>
      </c>
      <c r="D11" s="24">
        <f>'Calc-Architectural'!I66</f>
        <v/>
      </c>
      <c r="E11" s="17" t="inlineStr">
        <is>
          <t>A-601</t>
        </is>
      </c>
      <c r="F11" s="17" t="n">
        <v>1</v>
      </c>
      <c r="G11" s="18" t="inlineStr">
        <is>
          <t>Straight off the door schedule; located at plant, store, corridor.</t>
        </is>
      </c>
      <c r="H11" s="18" t="inlineStr">
        <is>
          <t>None</t>
        </is>
      </c>
      <c r="I11" s="18" t="inlineStr">
        <is>
          <t>08 11 00</t>
        </is>
      </c>
    </row>
    <row r="12">
      <c r="A12" s="17" t="n">
        <v>9</v>
      </c>
      <c r="B12" s="18" t="inlineStr">
        <is>
          <t>Solid core wood in HM frame, 3'-0 x 7'-0 (mark D3)</t>
        </is>
      </c>
      <c r="C12" s="17" t="inlineStr">
        <is>
          <t>EA</t>
        </is>
      </c>
      <c r="D12" s="24">
        <f>'Calc-Architectural'!I73</f>
        <v/>
      </c>
      <c r="E12" s="17" t="inlineStr">
        <is>
          <t>A-601</t>
        </is>
      </c>
      <c r="F12" s="17" t="n">
        <v>1</v>
      </c>
      <c r="G12" s="18" t="inlineStr">
        <is>
          <t>Straight off the door schedule; located at toilets, kitchen.</t>
        </is>
      </c>
      <c r="H12" s="18" t="inlineStr">
        <is>
          <t>None</t>
        </is>
      </c>
      <c r="I12" s="18" t="inlineStr">
        <is>
          <t>08 14 00</t>
        </is>
      </c>
    </row>
    <row r="13">
      <c r="A13" s="17" t="n">
        <v>10</v>
      </c>
      <c r="B13" s="18" t="inlineStr">
        <is>
          <t>Insulated sectional overhead, 10'-0 x 10'-0 (mark D4)</t>
        </is>
      </c>
      <c r="C13" s="17" t="inlineStr">
        <is>
          <t>EA</t>
        </is>
      </c>
      <c r="D13" s="24">
        <f>'Calc-Architectural'!I80</f>
        <v/>
      </c>
      <c r="E13" s="17" t="inlineStr">
        <is>
          <t>A-601</t>
        </is>
      </c>
      <c r="F13" s="17" t="n">
        <v>1</v>
      </c>
      <c r="G13" s="18" t="inlineStr">
        <is>
          <t>Straight off the door schedule; located at plant delivery.</t>
        </is>
      </c>
      <c r="H13" s="18" t="inlineStr">
        <is>
          <t>None</t>
        </is>
      </c>
      <c r="I13" s="18" t="inlineStr">
        <is>
          <t>08 14 00</t>
        </is>
      </c>
    </row>
    <row r="14">
      <c r="A14" s="17" t="n">
        <v>11</v>
      </c>
      <c r="B14" s="18" t="inlineStr">
        <is>
          <t>Aluminium fixed, thermally broken, 6'-0 x 5'-0 (mark W1)</t>
        </is>
      </c>
      <c r="C14" s="17" t="inlineStr">
        <is>
          <t>EA</t>
        </is>
      </c>
      <c r="D14" s="24">
        <f>'Calc-Architectural'!I87</f>
        <v/>
      </c>
      <c r="E14" s="17" t="inlineStr">
        <is>
          <t>A-601</t>
        </is>
      </c>
      <c r="F14" s="17" t="n">
        <v>1</v>
      </c>
      <c r="G14" s="18" t="inlineStr">
        <is>
          <t>Straight off the window schedule; located at main hall, north and south.</t>
        </is>
      </c>
      <c r="H14" s="18" t="inlineStr">
        <is>
          <t>None</t>
        </is>
      </c>
      <c r="I14" s="18" t="inlineStr">
        <is>
          <t>08 51 13</t>
        </is>
      </c>
    </row>
    <row r="15">
      <c r="A15" s="17" t="n">
        <v>12</v>
      </c>
      <c r="B15" s="18" t="inlineStr">
        <is>
          <t>Aluminium fixed, thermally broken, 3'-0 x 5'-0 (mark W2)</t>
        </is>
      </c>
      <c r="C15" s="17" t="inlineStr">
        <is>
          <t>EA</t>
        </is>
      </c>
      <c r="D15" s="24">
        <f>'Calc-Architectural'!I94</f>
        <v/>
      </c>
      <c r="E15" s="17" t="inlineStr">
        <is>
          <t>A-601</t>
        </is>
      </c>
      <c r="F15" s="17" t="n">
        <v>1</v>
      </c>
      <c r="G15" s="18" t="inlineStr">
        <is>
          <t>Straight off the window schedule; located at kitchen and lobby.</t>
        </is>
      </c>
      <c r="H15" s="18" t="inlineStr">
        <is>
          <t>None</t>
        </is>
      </c>
      <c r="I15" s="18" t="inlineStr">
        <is>
          <t>08 51 13</t>
        </is>
      </c>
    </row>
    <row r="16">
      <c r="A16" s="17" t="n">
        <v>13</v>
      </c>
      <c r="B16" s="18" t="inlineStr">
        <is>
          <t>Aluminium awning, 3'-0 x 2'-0, obscure glazing (mark W3)</t>
        </is>
      </c>
      <c r="C16" s="17" t="inlineStr">
        <is>
          <t>EA</t>
        </is>
      </c>
      <c r="D16" s="24">
        <f>'Calc-Architectural'!I101</f>
        <v/>
      </c>
      <c r="E16" s="17" t="inlineStr">
        <is>
          <t>A-601</t>
        </is>
      </c>
      <c r="F16" s="17" t="n">
        <v>1</v>
      </c>
      <c r="G16" s="18" t="inlineStr">
        <is>
          <t>Straight off the window schedule; located at toilets.</t>
        </is>
      </c>
      <c r="H16" s="18" t="inlineStr">
        <is>
          <t>None</t>
        </is>
      </c>
      <c r="I16" s="18" t="inlineStr">
        <is>
          <t>08 51 13</t>
        </is>
      </c>
    </row>
    <row r="17">
      <c r="A17" s="17" t="n">
        <v>14</v>
      </c>
      <c r="B17" s="18" t="inlineStr">
        <is>
          <t>Door hardware, 4 distinct sets (HW-1 storefront, HW-2 rated, HW-3 passage, HW-4 overhead)</t>
        </is>
      </c>
      <c r="C17" s="17" t="inlineStr">
        <is>
          <t>SET</t>
        </is>
      </c>
      <c r="D17" s="24">
        <f>'Calc-Architectural'!I108</f>
        <v/>
      </c>
      <c r="E17" s="17" t="inlineStr">
        <is>
          <t>A-601</t>
        </is>
      </c>
      <c r="F17" s="17" t="n">
        <v>0.9</v>
      </c>
      <c r="G17" s="18" t="inlineStr">
        <is>
          <t>Set contents are listed on the sheet; individual pieces are not itemised there.</t>
        </is>
      </c>
      <c r="H17" s="18" t="inlineStr">
        <is>
          <t>None</t>
        </is>
      </c>
      <c r="I17" s="18" t="inlineStr">
        <is>
          <t>08 71 00</t>
        </is>
      </c>
    </row>
  </sheetData>
  <sheetProtection selectLockedCells="1" selectUnlockedCells="1" sheet="1" objects="0" insertRows="1" insertHyperlinks="1" autoFilter="1" scenarios="0" formatColumns="1" deleteColumns="1" insertColumns="1" pivotTables="1" deleteRows="1" formatCells="1" formatRows="1" sort="1"/>
  <pageMargins left="0.75" right="0.75" top="1" bottom="1" header="0.5" footer="0.5"/>
  <pageSetup orientation="landscape" paperSize="1" fitToHeight="0" fitToWidth="1"/>
  <headerFooter>
    <oddHeader>&amp;C&amp;9 &amp;K8A6D00SAMPLE — FOR EVALUATION ONLY, NOT FOR BID — rates removed; the delivered workbook arrives with an indicative rate wherever we hold a published one</oddHeader>
    <oddFooter>&amp;L&amp;F&amp;RPage &amp;P / &amp;N</oddFooter>
    <evenHeader>&amp;CSAMPLE — FOR EVALUATION ONLY, NOT FOR BID — rates removed; the delivered workbook arrives with an indicative rate wherever we hold a published one</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DraftTakeoff SAMPLE — evaluation only, not for bid, rates removed</dc:title>
  <dcterms:created xmlns:dcterms="http://purl.org/dc/terms/" xmlns:xsi="http://www.w3.org/2001/XMLSchema-instance" xsi:type="dcterms:W3CDTF">2026-08-30T06:50:17Z</dcterms:created>
  <dcterms:modified xmlns:dcterms="http://purl.org/dc/terms/" xmlns:xsi="http://www.w3.org/2001/XMLSchema-instance" xsi:type="dcterms:W3CDTF">2026-08-30T07:07:26Z</dcterms:modified>
</cp:coreProperties>
</file>